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2445" windowWidth="12000" windowHeight="5520" tabRatio="956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  <sheet name="Лист1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інфо_2'!$A$1:$AO$89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4519"/>
</workbook>
</file>

<file path=xl/calcChain.xml><?xml version="1.0" encoding="utf-8"?>
<calcChain xmlns="http://schemas.openxmlformats.org/spreadsheetml/2006/main">
  <c r="D14" i="3"/>
  <c r="F17" i="10" l="1"/>
  <c r="F87" i="2"/>
  <c r="E88"/>
  <c r="D87"/>
  <c r="D85"/>
  <c r="D84"/>
  <c r="E49" i="25" l="1"/>
  <c r="F47" i="26"/>
  <c r="G48"/>
  <c r="G42"/>
  <c r="G43"/>
  <c r="G45"/>
  <c r="G46"/>
  <c r="G41"/>
  <c r="F40"/>
  <c r="G39"/>
  <c r="G38"/>
  <c r="G37" s="1"/>
  <c r="F37"/>
  <c r="G27"/>
  <c r="G28"/>
  <c r="G29"/>
  <c r="G30"/>
  <c r="G31"/>
  <c r="G32"/>
  <c r="G33"/>
  <c r="G34"/>
  <c r="G35"/>
  <c r="G26"/>
  <c r="F25"/>
  <c r="G23"/>
  <c r="G22"/>
  <c r="G11"/>
  <c r="G13"/>
  <c r="G14"/>
  <c r="G15"/>
  <c r="G16"/>
  <c r="G17"/>
  <c r="G18"/>
  <c r="G19"/>
  <c r="G20"/>
  <c r="G5"/>
  <c r="G6"/>
  <c r="G7"/>
  <c r="G10"/>
  <c r="G4"/>
  <c r="F21"/>
  <c r="F9"/>
  <c r="F3"/>
  <c r="G47" l="1"/>
  <c r="G25"/>
  <c r="G21"/>
  <c r="G3"/>
  <c r="D47" l="1"/>
  <c r="E47"/>
  <c r="C47"/>
  <c r="E40"/>
  <c r="D40"/>
  <c r="E37"/>
  <c r="E25"/>
  <c r="E21"/>
  <c r="E9"/>
  <c r="E3"/>
  <c r="C113" i="23" l="1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D33" i="18" l="1"/>
  <c r="D12"/>
  <c r="F12"/>
  <c r="D18"/>
  <c r="D17"/>
  <c r="D14"/>
  <c r="D8"/>
  <c r="F7" i="19" l="1"/>
  <c r="D7"/>
  <c r="D68" i="2"/>
  <c r="C75"/>
  <c r="D75"/>
  <c r="J25" i="10" l="1"/>
  <c r="J26"/>
  <c r="J27"/>
  <c r="J29"/>
  <c r="J30"/>
  <c r="J31"/>
  <c r="E73" i="18" l="1"/>
  <c r="D10" i="3" l="1"/>
  <c r="D15" i="18" l="1"/>
  <c r="D24" i="19"/>
  <c r="D30"/>
  <c r="D29"/>
  <c r="F29"/>
  <c r="D18"/>
  <c r="D17"/>
  <c r="D16"/>
  <c r="D51" i="20" l="1"/>
  <c r="J24" i="10" l="1"/>
  <c r="D86" i="2"/>
  <c r="D83"/>
  <c r="D81"/>
  <c r="D57"/>
  <c r="D43"/>
  <c r="D37"/>
  <c r="D36"/>
  <c r="D35"/>
  <c r="D31"/>
  <c r="D30"/>
  <c r="D29"/>
  <c r="D28"/>
  <c r="D19"/>
  <c r="D16"/>
  <c r="D15"/>
  <c r="D13"/>
  <c r="D12"/>
  <c r="D11"/>
  <c r="D10"/>
  <c r="D9"/>
  <c r="D7"/>
  <c r="F83"/>
  <c r="F8" l="1"/>
  <c r="C49" i="25" l="1"/>
  <c r="B47" i="9" l="1"/>
  <c r="B46"/>
  <c r="AD39"/>
  <c r="D37" i="26" l="1"/>
  <c r="D9"/>
  <c r="D25"/>
  <c r="D21"/>
  <c r="D3"/>
  <c r="C44"/>
  <c r="C37"/>
  <c r="C25"/>
  <c r="C21"/>
  <c r="C12"/>
  <c r="G12" s="1"/>
  <c r="G9" s="1"/>
  <c r="C3"/>
  <c r="C40" l="1"/>
  <c r="G44"/>
  <c r="G40" s="1"/>
  <c r="D23" i="10"/>
  <c r="D24"/>
  <c r="D22"/>
  <c r="D27" i="2" l="1"/>
  <c r="F49" i="20" l="1"/>
  <c r="F51"/>
  <c r="F52"/>
  <c r="F53"/>
  <c r="F54"/>
  <c r="D21" i="10" l="1"/>
  <c r="B32"/>
  <c r="B29"/>
  <c r="B28"/>
  <c r="B25"/>
  <c r="F13" i="20"/>
  <c r="I47" i="10" l="1"/>
  <c r="D26" i="25" l="1"/>
  <c r="C26" l="1"/>
  <c r="C22"/>
  <c r="C10"/>
  <c r="D82" i="2" l="1"/>
  <c r="F82"/>
  <c r="AE34" i="9" l="1"/>
  <c r="AE39" s="1"/>
  <c r="F8" i="3" l="1"/>
  <c r="E47" i="25" l="1"/>
  <c r="E40"/>
  <c r="E38"/>
  <c r="E26"/>
  <c r="E22"/>
  <c r="E10"/>
  <c r="E2"/>
  <c r="C47"/>
  <c r="C44"/>
  <c r="C40" s="1"/>
  <c r="C38"/>
  <c r="D6" i="22"/>
  <c r="C6"/>
  <c r="G10" i="21" l="1"/>
  <c r="E8"/>
  <c r="D8"/>
  <c r="C8"/>
  <c r="C10" s="1"/>
  <c r="D10" s="1"/>
  <c r="E10" s="1"/>
  <c r="D17" i="10"/>
  <c r="E17" i="18" l="1"/>
  <c r="E30" i="19"/>
  <c r="D8" i="3" l="1"/>
  <c r="D32" i="10" l="1"/>
  <c r="F31"/>
  <c r="F30"/>
  <c r="D30"/>
  <c r="F27"/>
  <c r="F26"/>
  <c r="D26"/>
  <c r="F25"/>
  <c r="D25"/>
  <c r="H23"/>
  <c r="H31" s="1"/>
  <c r="D31"/>
  <c r="H22"/>
  <c r="N22" s="1"/>
  <c r="J20"/>
  <c r="F28"/>
  <c r="H19"/>
  <c r="H27" s="1"/>
  <c r="D28"/>
  <c r="H18"/>
  <c r="H26" s="1"/>
  <c r="J16"/>
  <c r="H10" i="21"/>
  <c r="H82" i="2"/>
  <c r="D78"/>
  <c r="B8" i="21"/>
  <c r="E13" i="18"/>
  <c r="H30" i="19"/>
  <c r="D7" i="18"/>
  <c r="D13"/>
  <c r="F13"/>
  <c r="G13" s="1"/>
  <c r="D43" i="20"/>
  <c r="E43"/>
  <c r="F43"/>
  <c r="H43" s="1"/>
  <c r="C43"/>
  <c r="E8" i="3"/>
  <c r="E39" i="20"/>
  <c r="G8" i="3"/>
  <c r="C8"/>
  <c r="C39" i="20" s="1"/>
  <c r="D57" i="18"/>
  <c r="E57"/>
  <c r="E68" s="1"/>
  <c r="F57"/>
  <c r="F68" s="1"/>
  <c r="C57"/>
  <c r="D45"/>
  <c r="D68"/>
  <c r="E45"/>
  <c r="F45"/>
  <c r="H45" s="1"/>
  <c r="C45"/>
  <c r="D21"/>
  <c r="E21"/>
  <c r="F21"/>
  <c r="G21"/>
  <c r="C21"/>
  <c r="D10" i="11"/>
  <c r="C42" i="20" s="1"/>
  <c r="E10" i="11"/>
  <c r="D42" i="20" s="1"/>
  <c r="F10" i="11"/>
  <c r="E42" i="20" s="1"/>
  <c r="G10" i="11"/>
  <c r="F42" i="20" s="1"/>
  <c r="H12" i="11"/>
  <c r="E11"/>
  <c r="F11"/>
  <c r="G11"/>
  <c r="D28" i="20"/>
  <c r="D29"/>
  <c r="D30"/>
  <c r="D32"/>
  <c r="D11" i="11"/>
  <c r="E13" i="20"/>
  <c r="F43" i="10"/>
  <c r="F47" s="1"/>
  <c r="C13" i="20"/>
  <c r="H48"/>
  <c r="C48"/>
  <c r="C2" i="25"/>
  <c r="N8" i="9"/>
  <c r="N13" s="1"/>
  <c r="N9"/>
  <c r="N10"/>
  <c r="N11"/>
  <c r="N12"/>
  <c r="R13"/>
  <c r="U13"/>
  <c r="X13"/>
  <c r="AA13"/>
  <c r="AD13"/>
  <c r="AC21"/>
  <c r="AC22"/>
  <c r="AC23"/>
  <c r="AC24"/>
  <c r="AC25"/>
  <c r="W26"/>
  <c r="Y26"/>
  <c r="AC26" s="1"/>
  <c r="AA26"/>
  <c r="Q34"/>
  <c r="Y34"/>
  <c r="Q35"/>
  <c r="Y35"/>
  <c r="Q36"/>
  <c r="Y36"/>
  <c r="Q37"/>
  <c r="Y37"/>
  <c r="Q38"/>
  <c r="Y38"/>
  <c r="M39"/>
  <c r="Q39" s="1"/>
  <c r="O39"/>
  <c r="U39"/>
  <c r="W39"/>
  <c r="AC39"/>
  <c r="Q46"/>
  <c r="Y46"/>
  <c r="AC46"/>
  <c r="AD46"/>
  <c r="Q47"/>
  <c r="Y47"/>
  <c r="AC47"/>
  <c r="AD47"/>
  <c r="Q48"/>
  <c r="Y48"/>
  <c r="AC48"/>
  <c r="AE48" s="1"/>
  <c r="AD48"/>
  <c r="Q49"/>
  <c r="Y49"/>
  <c r="AC49"/>
  <c r="AE49" s="1"/>
  <c r="AD49"/>
  <c r="Q50"/>
  <c r="Y50"/>
  <c r="AC50"/>
  <c r="AD50"/>
  <c r="AE50" s="1"/>
  <c r="M51"/>
  <c r="O51"/>
  <c r="Q51" s="1"/>
  <c r="U51"/>
  <c r="W51"/>
  <c r="Y51" s="1"/>
  <c r="N60"/>
  <c r="N61"/>
  <c r="N65" s="1"/>
  <c r="N62"/>
  <c r="N63"/>
  <c r="N64"/>
  <c r="F65"/>
  <c r="H65"/>
  <c r="J65"/>
  <c r="L65"/>
  <c r="P65"/>
  <c r="R65"/>
  <c r="T65"/>
  <c r="L13" i="10"/>
  <c r="N13"/>
  <c r="L14"/>
  <c r="N14"/>
  <c r="L15"/>
  <c r="N15"/>
  <c r="L44"/>
  <c r="L45"/>
  <c r="L46"/>
  <c r="K56"/>
  <c r="G9" i="3"/>
  <c r="H9"/>
  <c r="G10"/>
  <c r="H10"/>
  <c r="G11"/>
  <c r="H11"/>
  <c r="G12"/>
  <c r="H12"/>
  <c r="G13"/>
  <c r="H13"/>
  <c r="G14"/>
  <c r="H14"/>
  <c r="C7" i="18"/>
  <c r="E7"/>
  <c r="F7"/>
  <c r="G8"/>
  <c r="H8"/>
  <c r="G9"/>
  <c r="H9"/>
  <c r="G10"/>
  <c r="H10"/>
  <c r="G11"/>
  <c r="H11"/>
  <c r="G12"/>
  <c r="H12"/>
  <c r="C13"/>
  <c r="H14"/>
  <c r="H15"/>
  <c r="H16"/>
  <c r="H18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C32"/>
  <c r="D32"/>
  <c r="E32"/>
  <c r="F32"/>
  <c r="H32" s="1"/>
  <c r="G33"/>
  <c r="H33"/>
  <c r="G34"/>
  <c r="H34"/>
  <c r="G35"/>
  <c r="H35"/>
  <c r="G36"/>
  <c r="H36"/>
  <c r="G37"/>
  <c r="H37"/>
  <c r="G38"/>
  <c r="H38"/>
  <c r="G39"/>
  <c r="H39"/>
  <c r="G40"/>
  <c r="H40"/>
  <c r="C41"/>
  <c r="D41"/>
  <c r="E41"/>
  <c r="F41"/>
  <c r="H41" s="1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9"/>
  <c r="H69"/>
  <c r="G70"/>
  <c r="H70"/>
  <c r="G71"/>
  <c r="H71"/>
  <c r="G6" i="19"/>
  <c r="H6"/>
  <c r="H7"/>
  <c r="G8"/>
  <c r="H8"/>
  <c r="H9"/>
  <c r="H10"/>
  <c r="H11"/>
  <c r="H12"/>
  <c r="H13"/>
  <c r="G16"/>
  <c r="H16"/>
  <c r="G17"/>
  <c r="H17"/>
  <c r="G18"/>
  <c r="H18"/>
  <c r="H19"/>
  <c r="G21"/>
  <c r="H21"/>
  <c r="G22"/>
  <c r="H22"/>
  <c r="G23"/>
  <c r="H23"/>
  <c r="G24"/>
  <c r="H24"/>
  <c r="C25"/>
  <c r="C20"/>
  <c r="C31" s="1"/>
  <c r="C33" i="20" s="1"/>
  <c r="D25" i="19"/>
  <c r="D20"/>
  <c r="D31" i="20" s="1"/>
  <c r="E25" i="19"/>
  <c r="E20" s="1"/>
  <c r="F25"/>
  <c r="H25" s="1"/>
  <c r="G26"/>
  <c r="H26"/>
  <c r="G27"/>
  <c r="H27"/>
  <c r="G28"/>
  <c r="H28"/>
  <c r="G29"/>
  <c r="H29"/>
  <c r="G30"/>
  <c r="G7" i="2"/>
  <c r="H7"/>
  <c r="C8"/>
  <c r="C17" s="1"/>
  <c r="D8"/>
  <c r="D17" s="1"/>
  <c r="E8"/>
  <c r="F17"/>
  <c r="F15" i="20" s="1"/>
  <c r="G9" i="2"/>
  <c r="H9"/>
  <c r="G10"/>
  <c r="H10"/>
  <c r="G11"/>
  <c r="H11"/>
  <c r="G12"/>
  <c r="H12"/>
  <c r="G13"/>
  <c r="H13"/>
  <c r="G14"/>
  <c r="H14"/>
  <c r="G15"/>
  <c r="H15"/>
  <c r="G16"/>
  <c r="H16"/>
  <c r="G19"/>
  <c r="H19"/>
  <c r="G20"/>
  <c r="C21"/>
  <c r="C16" i="20" s="1"/>
  <c r="D21" i="2"/>
  <c r="D16" i="20" s="1"/>
  <c r="E21" i="2"/>
  <c r="E16" i="20" s="1"/>
  <c r="F21" i="2"/>
  <c r="F16" i="20" s="1"/>
  <c r="C44" i="2"/>
  <c r="D44"/>
  <c r="D17" i="20" s="1"/>
  <c r="E44" i="2"/>
  <c r="G44" s="1"/>
  <c r="F44"/>
  <c r="D52"/>
  <c r="E52"/>
  <c r="E75" s="1"/>
  <c r="F52"/>
  <c r="F75" s="1"/>
  <c r="C52"/>
  <c r="G59"/>
  <c r="G60"/>
  <c r="G63"/>
  <c r="G64"/>
  <c r="G68"/>
  <c r="G69"/>
  <c r="G71"/>
  <c r="G73"/>
  <c r="C76"/>
  <c r="E76"/>
  <c r="E20" i="20" s="1"/>
  <c r="F76" i="2"/>
  <c r="F20" i="20" s="1"/>
  <c r="C77" i="2"/>
  <c r="C21" i="20"/>
  <c r="E77" i="2"/>
  <c r="F77"/>
  <c r="G77" s="1"/>
  <c r="C78"/>
  <c r="E78"/>
  <c r="F78"/>
  <c r="G81"/>
  <c r="H81"/>
  <c r="G83"/>
  <c r="H83"/>
  <c r="G84"/>
  <c r="H84"/>
  <c r="G85"/>
  <c r="H85"/>
  <c r="G86"/>
  <c r="H86"/>
  <c r="C88"/>
  <c r="D88"/>
  <c r="B13" i="20"/>
  <c r="B14"/>
  <c r="B15"/>
  <c r="B16"/>
  <c r="B17"/>
  <c r="C17"/>
  <c r="F17"/>
  <c r="B18"/>
  <c r="B19"/>
  <c r="B20"/>
  <c r="C20"/>
  <c r="D20"/>
  <c r="B21"/>
  <c r="D21"/>
  <c r="F21"/>
  <c r="B22"/>
  <c r="B23"/>
  <c r="C23"/>
  <c r="D23"/>
  <c r="E23"/>
  <c r="F23"/>
  <c r="B24"/>
  <c r="B28"/>
  <c r="C28"/>
  <c r="E28"/>
  <c r="F28"/>
  <c r="B29"/>
  <c r="C29"/>
  <c r="E29"/>
  <c r="F29"/>
  <c r="H29" s="1"/>
  <c r="C30"/>
  <c r="E30"/>
  <c r="F30"/>
  <c r="G30" s="1"/>
  <c r="B31"/>
  <c r="B32"/>
  <c r="C32"/>
  <c r="E32"/>
  <c r="F32"/>
  <c r="B33"/>
  <c r="C35"/>
  <c r="D35"/>
  <c r="E35"/>
  <c r="F35"/>
  <c r="G35"/>
  <c r="G36"/>
  <c r="G37"/>
  <c r="B39"/>
  <c r="D39"/>
  <c r="F39"/>
  <c r="H39" s="1"/>
  <c r="G45"/>
  <c r="H45"/>
  <c r="G46"/>
  <c r="H46"/>
  <c r="G47"/>
  <c r="H47"/>
  <c r="G48"/>
  <c r="G49"/>
  <c r="H49"/>
  <c r="G50"/>
  <c r="H50"/>
  <c r="C51"/>
  <c r="G51"/>
  <c r="G52"/>
  <c r="H52"/>
  <c r="G53"/>
  <c r="H53"/>
  <c r="G54"/>
  <c r="H54"/>
  <c r="H51"/>
  <c r="E21"/>
  <c r="N19" i="10"/>
  <c r="L23"/>
  <c r="N16"/>
  <c r="L19"/>
  <c r="D31" i="19"/>
  <c r="D33" i="20" s="1"/>
  <c r="E43" i="10"/>
  <c r="H76" i="2"/>
  <c r="G21" i="20"/>
  <c r="H57" i="18"/>
  <c r="G43" i="20"/>
  <c r="G76" i="2"/>
  <c r="G45" i="18"/>
  <c r="H21" i="20" l="1"/>
  <c r="L18" i="10"/>
  <c r="L16"/>
  <c r="J32"/>
  <c r="J28"/>
  <c r="AD51" i="9"/>
  <c r="G32" i="18"/>
  <c r="C14" i="20"/>
  <c r="G82" i="2"/>
  <c r="D13" i="20"/>
  <c r="I43" i="10" s="1"/>
  <c r="H43" s="1"/>
  <c r="H13" i="20"/>
  <c r="F19" i="18"/>
  <c r="F36" i="20" s="1"/>
  <c r="H30"/>
  <c r="G29"/>
  <c r="D79" i="2"/>
  <c r="G23" i="20"/>
  <c r="H16"/>
  <c r="F14"/>
  <c r="G78" i="2"/>
  <c r="N27" i="10"/>
  <c r="L27"/>
  <c r="C19" i="18"/>
  <c r="C58" i="2"/>
  <c r="C67" s="1"/>
  <c r="C15" i="20"/>
  <c r="H32"/>
  <c r="H28"/>
  <c r="H23"/>
  <c r="G52" i="2"/>
  <c r="E79"/>
  <c r="H21"/>
  <c r="E17"/>
  <c r="E15" i="20" s="1"/>
  <c r="G8" i="2"/>
  <c r="H20" i="20"/>
  <c r="G20"/>
  <c r="H17" i="2"/>
  <c r="G17"/>
  <c r="G57" i="18"/>
  <c r="G28" i="20"/>
  <c r="F20" i="19"/>
  <c r="G20" s="1"/>
  <c r="H77" i="2"/>
  <c r="G41" i="18"/>
  <c r="F79" i="2"/>
  <c r="L30" i="10"/>
  <c r="E17" i="20"/>
  <c r="H17" s="1"/>
  <c r="C31"/>
  <c r="H20" i="10"/>
  <c r="H13" i="18"/>
  <c r="G75" i="2"/>
  <c r="H8" i="3"/>
  <c r="H78" i="2"/>
  <c r="H44"/>
  <c r="G21"/>
  <c r="H8"/>
  <c r="G25" i="19"/>
  <c r="H17" i="18"/>
  <c r="G7"/>
  <c r="AE47" i="9"/>
  <c r="AE46"/>
  <c r="G13" i="20"/>
  <c r="H30" i="10"/>
  <c r="N30" s="1"/>
  <c r="AC51" i="9"/>
  <c r="E14" i="20"/>
  <c r="H7" i="18"/>
  <c r="E19"/>
  <c r="E72" s="1"/>
  <c r="G32" i="20"/>
  <c r="F58" i="2"/>
  <c r="D27" i="10"/>
  <c r="Y39" i="9"/>
  <c r="D19" i="18"/>
  <c r="D36" i="20" s="1"/>
  <c r="H11" i="11"/>
  <c r="H10"/>
  <c r="G15" i="20"/>
  <c r="H15"/>
  <c r="G68" i="18"/>
  <c r="H68"/>
  <c r="L26" i="10"/>
  <c r="N26"/>
  <c r="E18" i="20"/>
  <c r="D15"/>
  <c r="D58" i="2"/>
  <c r="E31" i="20"/>
  <c r="E31" i="19"/>
  <c r="H52" i="2"/>
  <c r="E58"/>
  <c r="C79"/>
  <c r="G16" i="20"/>
  <c r="L22" i="10"/>
  <c r="D29"/>
  <c r="N23"/>
  <c r="L47"/>
  <c r="D14" i="20"/>
  <c r="N18" i="10"/>
  <c r="H35" i="20"/>
  <c r="H42"/>
  <c r="G42"/>
  <c r="G39"/>
  <c r="H14" l="1"/>
  <c r="AE51" i="9"/>
  <c r="D37" i="20"/>
  <c r="E5" i="24"/>
  <c r="L43" i="10"/>
  <c r="C73" i="18"/>
  <c r="C19" i="20"/>
  <c r="F37"/>
  <c r="H20" i="19"/>
  <c r="G14" i="20"/>
  <c r="G19" i="18"/>
  <c r="G73" s="1"/>
  <c r="H19"/>
  <c r="F19" i="20"/>
  <c r="F67" i="2"/>
  <c r="F18" i="20"/>
  <c r="H18" s="1"/>
  <c r="D18"/>
  <c r="C18"/>
  <c r="H75" i="2"/>
  <c r="F31" i="20"/>
  <c r="G31" s="1"/>
  <c r="F31" i="19"/>
  <c r="F33" i="20" s="1"/>
  <c r="H28" i="10"/>
  <c r="N20"/>
  <c r="H17"/>
  <c r="L20"/>
  <c r="D5" i="24"/>
  <c r="G79" i="2"/>
  <c r="H79"/>
  <c r="G17" i="20"/>
  <c r="E36"/>
  <c r="H36" s="1"/>
  <c r="H72" i="18"/>
  <c r="G72"/>
  <c r="L31" i="10"/>
  <c r="N31"/>
  <c r="E67" i="2"/>
  <c r="H58"/>
  <c r="E19" i="20"/>
  <c r="G58" i="2"/>
  <c r="H73" i="18"/>
  <c r="E37" i="20"/>
  <c r="E33"/>
  <c r="D67" i="2"/>
  <c r="D19" i="20"/>
  <c r="C70" i="2"/>
  <c r="C22" i="20"/>
  <c r="C37" l="1"/>
  <c r="F5" i="24"/>
  <c r="C36" i="20"/>
  <c r="H37"/>
  <c r="G31" i="19"/>
  <c r="G18" i="20"/>
  <c r="H25" i="10"/>
  <c r="L17"/>
  <c r="N17"/>
  <c r="N28"/>
  <c r="L28"/>
  <c r="H31" i="20"/>
  <c r="F22"/>
  <c r="F70" i="2"/>
  <c r="H31" i="19"/>
  <c r="C14"/>
  <c r="D7" i="11"/>
  <c r="C41" i="20" s="1"/>
  <c r="C24"/>
  <c r="D8" i="11" s="1"/>
  <c r="C25" i="20" s="1"/>
  <c r="G33"/>
  <c r="H33"/>
  <c r="E70" i="2"/>
  <c r="G67"/>
  <c r="E22" i="20"/>
  <c r="H67" i="2"/>
  <c r="D70"/>
  <c r="D22" i="20"/>
  <c r="G19"/>
  <c r="H19"/>
  <c r="G7" i="11" l="1"/>
  <c r="F41" i="20" s="1"/>
  <c r="F14" i="19"/>
  <c r="F24" i="20"/>
  <c r="G8" i="11" s="1"/>
  <c r="E25" i="20" s="1"/>
  <c r="N25" i="10"/>
  <c r="L25"/>
  <c r="E7" i="11"/>
  <c r="D41" i="20" s="1"/>
  <c r="D24"/>
  <c r="E8" i="11" s="1"/>
  <c r="D25" i="20" s="1"/>
  <c r="D14" i="19"/>
  <c r="H70" i="2"/>
  <c r="E24" i="20"/>
  <c r="E14" i="19"/>
  <c r="F7" i="11"/>
  <c r="G70" i="2"/>
  <c r="H22" i="20"/>
  <c r="G22"/>
  <c r="F8" i="11" l="1"/>
  <c r="H8" s="1"/>
  <c r="F25" i="20" s="1"/>
  <c r="H24"/>
  <c r="G24"/>
  <c r="G14" i="19"/>
  <c r="H14"/>
  <c r="E41" i="20"/>
  <c r="H7" i="11"/>
  <c r="H25" i="20" l="1"/>
  <c r="G25"/>
  <c r="G41"/>
  <c r="H41"/>
  <c r="F32" i="10"/>
  <c r="F29"/>
  <c r="H24"/>
  <c r="N24" s="1"/>
  <c r="H21"/>
  <c r="L21" s="1"/>
  <c r="H32" l="1"/>
  <c r="L24"/>
  <c r="N21"/>
  <c r="H29"/>
  <c r="N29" l="1"/>
  <c r="L29"/>
  <c r="N32"/>
  <c r="L32"/>
  <c r="H88" i="2"/>
  <c r="G87"/>
  <c r="G88"/>
  <c r="H87" l="1"/>
</calcChain>
</file>

<file path=xl/sharedStrings.xml><?xml version="1.0" encoding="utf-8"?>
<sst xmlns="http://schemas.openxmlformats.org/spreadsheetml/2006/main" count="1689" uniqueCount="980">
  <si>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</si>
  <si>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</si>
  <si>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</si>
  <si>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</si>
  <si>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</si>
  <si>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</si>
  <si>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</si>
  <si>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</si>
  <si>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</si>
  <si>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</si>
  <si>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</si>
  <si>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</si>
  <si>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</si>
  <si>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</si>
  <si>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</si>
  <si>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</si>
  <si>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</si>
  <si>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</si>
  <si>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</si>
  <si>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</si>
  <si>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</si>
  <si>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</si>
  <si>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</si>
  <si>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</si>
  <si>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</si>
  <si>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</si>
  <si>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</si>
  <si>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</si>
  <si>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</si>
  <si>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</si>
  <si>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</si>
  <si>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</si>
  <si>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</si>
  <si>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</si>
  <si>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</si>
  <si>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</si>
  <si>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</si>
  <si>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</si>
  <si>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</si>
  <si>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</si>
  <si>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</si>
  <si>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</si>
  <si>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</si>
  <si>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</si>
  <si>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</si>
  <si>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</si>
  <si>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</si>
  <si>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</si>
  <si>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</si>
  <si>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</si>
  <si>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</si>
  <si>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</si>
  <si>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</si>
  <si>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</si>
  <si>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</si>
  <si>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</si>
  <si>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</si>
  <si>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</si>
  <si>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</si>
  <si>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</si>
  <si>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</si>
  <si>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</si>
  <si>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</si>
  <si>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</si>
  <si>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</si>
  <si>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</si>
  <si>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</si>
  <si>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</si>
  <si>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</si>
  <si>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</si>
  <si>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</si>
  <si>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</si>
  <si>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</si>
  <si>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</si>
  <si>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</si>
  <si>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</si>
  <si>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</si>
  <si>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</si>
  <si>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</si>
  <si>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</si>
  <si>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</si>
  <si>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</si>
  <si>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</si>
  <si>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</si>
  <si>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</si>
  <si>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</si>
  <si>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</si>
  <si>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</si>
  <si>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</si>
  <si>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</si>
  <si>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</si>
  <si>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</si>
  <si>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</si>
  <si>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</si>
  <si>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</si>
  <si>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</si>
  <si>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</si>
  <si>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</si>
  <si>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</si>
  <si>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</si>
  <si>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</si>
  <si>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</si>
  <si>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</si>
  <si>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</si>
  <si>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</si>
  <si>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</si>
  <si>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</si>
  <si>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</si>
  <si>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</si>
  <si>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</si>
  <si>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</si>
  <si>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</si>
  <si>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</si>
  <si>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</si>
  <si>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</si>
  <si>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</si>
  <si>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</si>
  <si>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</si>
  <si>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</si>
  <si>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</si>
  <si>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</si>
  <si>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</si>
  <si>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</si>
  <si>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</si>
  <si>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</si>
  <si>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</si>
  <si>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</si>
  <si>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</si>
  <si>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</si>
  <si>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</si>
  <si>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</si>
  <si>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</si>
  <si>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</si>
  <si>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</si>
  <si>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</si>
  <si>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</si>
  <si>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</si>
  <si>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</si>
  <si>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</si>
  <si>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</si>
  <si>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</si>
  <si>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</si>
  <si>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</si>
  <si>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</si>
  <si>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</si>
  <si>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</si>
  <si>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</si>
  <si>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</si>
  <si>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</si>
  <si>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</si>
  <si>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</si>
  <si>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</si>
  <si>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</si>
  <si>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</si>
  <si>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</si>
  <si>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</si>
  <si>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</si>
  <si>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</si>
  <si>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</si>
  <si>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</si>
  <si>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</si>
  <si>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</si>
  <si>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</si>
  <si>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</si>
  <si>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</si>
  <si>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</si>
  <si>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</si>
  <si>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</si>
  <si>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</si>
  <si>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</si>
  <si>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</si>
  <si>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</si>
  <si>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</si>
  <si>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</si>
  <si>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</si>
  <si>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</si>
  <si>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</si>
  <si>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</si>
  <si>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</si>
  <si>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</si>
  <si>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</si>
  <si>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</si>
  <si>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</si>
  <si>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</si>
  <si>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</si>
  <si>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</si>
  <si>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</si>
  <si>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</si>
  <si>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</si>
  <si>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</si>
  <si>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</si>
  <si>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</si>
  <si>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</si>
  <si>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</si>
  <si>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</si>
  <si>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</si>
  <si>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</si>
  <si>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</si>
  <si>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</si>
  <si>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</si>
  <si>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</si>
  <si>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</si>
  <si>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</si>
  <si>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</si>
  <si>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</si>
  <si>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</si>
  <si>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</si>
  <si>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</si>
  <si>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</si>
  <si>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</si>
  <si>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</si>
  <si>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</si>
  <si>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</si>
  <si>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</si>
  <si>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</si>
  <si>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</si>
  <si>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</si>
  <si>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</si>
  <si>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</si>
  <si>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</si>
  <si>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</si>
  <si>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</si>
  <si>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</si>
  <si>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</si>
  <si>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</si>
  <si>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</si>
  <si>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</si>
  <si>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</si>
  <si>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</si>
  <si>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</si>
  <si>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</si>
  <si>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</si>
  <si>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</si>
  <si>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</si>
  <si>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</si>
  <si>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</si>
  <si>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</si>
  <si>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</si>
  <si>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</si>
  <si>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</si>
  <si>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</si>
  <si>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</si>
  <si>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</si>
  <si>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</si>
  <si>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</si>
  <si>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</si>
  <si>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</si>
  <si>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</si>
  <si>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</si>
  <si>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</si>
  <si>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</si>
  <si>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</si>
  <si>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</si>
  <si>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</si>
  <si>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</si>
  <si>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</si>
  <si>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</si>
  <si>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</si>
  <si>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</si>
  <si>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</si>
  <si>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</si>
  <si>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</si>
  <si>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</si>
  <si>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</si>
  <si>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</si>
  <si>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</si>
  <si>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</si>
  <si>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</si>
  <si>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</si>
  <si>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</si>
  <si>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</si>
  <si>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</si>
  <si>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</si>
  <si>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</si>
  <si>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</si>
  <si>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</si>
  <si>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</si>
  <si>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</si>
  <si>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</si>
  <si>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</si>
  <si>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</si>
  <si>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</si>
  <si>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</si>
  <si>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</si>
  <si>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</si>
  <si>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</si>
  <si>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</si>
  <si>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</si>
  <si>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</si>
  <si>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</si>
  <si>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</si>
  <si>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</si>
  <si>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</si>
  <si>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</si>
  <si>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</si>
  <si>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</si>
  <si>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</si>
  <si>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</si>
  <si>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</si>
  <si>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</si>
  <si>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</si>
  <si>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</si>
  <si>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</si>
  <si>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</si>
  <si>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</si>
  <si>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</si>
  <si>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</si>
  <si>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</si>
  <si>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</si>
  <si>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</si>
  <si>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</si>
  <si>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</si>
  <si>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</si>
  <si>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</si>
  <si>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</si>
  <si>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</si>
  <si>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</si>
  <si>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</si>
  <si>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</si>
  <si>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</si>
  <si>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</si>
  <si>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</si>
  <si>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</si>
  <si>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</si>
  <si>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</si>
  <si>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</si>
  <si>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</si>
  <si>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</si>
  <si>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</si>
  <si>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</si>
  <si>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</si>
  <si>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</si>
  <si>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</si>
  <si>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</si>
  <si>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</si>
  <si>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</si>
  <si>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</si>
  <si>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</si>
  <si>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</si>
  <si>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</si>
  <si>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</si>
  <si>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</si>
  <si>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</si>
  <si>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</si>
  <si>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</si>
  <si>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</si>
  <si>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</si>
  <si>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</si>
  <si>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</si>
  <si>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</si>
  <si>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</si>
  <si>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</si>
  <si>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</si>
  <si>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</si>
  <si>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</si>
  <si>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</si>
  <si>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</si>
  <si>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</si>
  <si>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</si>
  <si>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</si>
  <si>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</si>
  <si>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</si>
  <si>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</si>
  <si>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</si>
  <si>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</si>
  <si>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</si>
  <si>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</si>
  <si>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</si>
  <si>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</si>
  <si>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</si>
  <si>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</si>
  <si>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</si>
  <si>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</si>
  <si>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</si>
  <si>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</si>
  <si>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</si>
  <si>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</si>
  <si>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</si>
  <si>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</si>
  <si>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</si>
  <si>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</si>
  <si>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</si>
  <si>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</si>
  <si>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</si>
  <si>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</si>
  <si>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</si>
  <si>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</si>
  <si>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</si>
  <si>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</si>
  <si>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</si>
  <si>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</si>
  <si>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</si>
  <si>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</si>
  <si>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</si>
  <si>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</si>
  <si>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</si>
  <si>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</si>
  <si>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</si>
  <si>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</si>
  <si>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</si>
  <si>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</si>
  <si>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</si>
  <si>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</si>
  <si>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</si>
  <si>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</si>
  <si>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</si>
  <si>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</si>
  <si>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</si>
  <si>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</si>
  <si>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</si>
  <si>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</si>
  <si>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</si>
  <si>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</si>
  <si>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</si>
  <si>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</si>
  <si>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</si>
  <si>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</si>
  <si>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</si>
  <si>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</si>
  <si>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</si>
  <si>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</si>
  <si>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</si>
  <si>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</si>
  <si>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</si>
  <si>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</si>
  <si>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</si>
  <si>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</si>
  <si>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</si>
  <si>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</si>
  <si>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</si>
  <si>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</si>
  <si>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</si>
  <si>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</si>
  <si>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</si>
  <si>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</si>
  <si>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</si>
  <si>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</si>
  <si>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</si>
  <si>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</si>
  <si>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</si>
  <si>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</si>
  <si>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</si>
  <si>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</si>
  <si>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</si>
  <si>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</si>
  <si>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</si>
  <si>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</si>
  <si>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</si>
  <si>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</si>
  <si>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</si>
  <si>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</si>
  <si>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</si>
  <si>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</si>
  <si>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</si>
  <si>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</si>
  <si>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</si>
  <si>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</si>
  <si>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</si>
  <si>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</si>
  <si>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</si>
  <si>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</si>
  <si>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</si>
  <si>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</si>
  <si>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</si>
  <si>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</si>
  <si>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</si>
  <si>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</si>
  <si>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</si>
  <si>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</si>
  <si>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</si>
  <si>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</si>
  <si>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</si>
  <si>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</si>
  <si>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</si>
  <si>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</si>
  <si>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</si>
  <si>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</si>
  <si>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</si>
  <si>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</si>
  <si>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</si>
  <si>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</si>
  <si>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</si>
  <si>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</si>
  <si>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</si>
  <si>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</si>
  <si>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</si>
  <si>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</si>
  <si>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</si>
  <si>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</si>
  <si>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</si>
  <si>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t>Інформація про претензійно-позовну роботу комунального підприємства КП БМР ЖЕК № 7</t>
  </si>
  <si>
    <t>Виконавець Кошова Г.В</t>
  </si>
  <si>
    <t>КП БМР ЖЕК № 7</t>
  </si>
  <si>
    <t>(   )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</si>
  <si>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</si>
  <si>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</si>
  <si>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</si>
  <si>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</si>
  <si>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</si>
  <si>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</si>
  <si>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</si>
  <si>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>Квартплата</t>
  </si>
  <si>
    <t xml:space="preserve">Експл  витрати нежитл  прим </t>
  </si>
  <si>
    <t>субсідія</t>
  </si>
  <si>
    <t>пільги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</si>
  <si>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</si>
  <si>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</si>
  <si>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</si>
  <si>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</si>
  <si>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</si>
  <si>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</si>
  <si>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</si>
  <si>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</si>
  <si>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</si>
  <si>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</si>
  <si>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резерв відпусток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</si>
  <si>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</si>
  <si>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</si>
  <si>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</si>
  <si>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</si>
  <si>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</si>
  <si>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</si>
  <si>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</si>
  <si>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</si>
  <si>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</si>
  <si>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 xml:space="preserve">Інші операційні витрати </t>
  </si>
  <si>
    <t>Матеріальна допомога</t>
  </si>
  <si>
    <t>Головний бухгалтер                                                Л.С.Фіялко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</si>
  <si>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</si>
  <si>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</si>
  <si>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</si>
  <si>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</si>
  <si>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</si>
  <si>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</si>
  <si>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</si>
  <si>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</si>
  <si>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</si>
  <si>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</si>
  <si>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</si>
  <si>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</si>
  <si>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</si>
  <si>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</si>
  <si>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</si>
  <si>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</si>
  <si>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</si>
  <si>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Телефон (04563)7-16-56,  7-10-34</t>
  </si>
  <si>
    <t>Прізвище та ініціали керівника  Балас Ю.М.</t>
  </si>
  <si>
    <t xml:space="preserve">                   Коханчук О.М.</t>
  </si>
  <si>
    <t>70.20</t>
  </si>
  <si>
    <t>Головний економіст Кошова Г.В. тел.7-16-56</t>
  </si>
  <si>
    <t>Головний бухгалтер Фіялко Л.С.</t>
  </si>
  <si>
    <t>списання БРР</t>
  </si>
  <si>
    <t>моденізація автотранспорту</t>
  </si>
  <si>
    <t>ухвала   відповідно до ч.9 ст.165 ЦПК</t>
  </si>
  <si>
    <t>Попова О. А.</t>
  </si>
  <si>
    <t>Борг сплачено</t>
  </si>
  <si>
    <t>Виконавець Фіялко Л.С.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</si>
  <si>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</si>
  <si>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</si>
  <si>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</si>
  <si>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>податок на прибуток,дивиденди</t>
  </si>
  <si>
    <t xml:space="preserve"> Військовий збір      </t>
  </si>
  <si>
    <t>інши витрати</t>
  </si>
  <si>
    <t>Списання ДКИ,% банків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</si>
  <si>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</si>
  <si>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</si>
  <si>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</si>
  <si>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r>
      <t>моденізація комп</t>
    </r>
    <r>
      <rPr>
        <sz val="10"/>
        <rFont val="Calibri"/>
        <family val="2"/>
        <charset val="204"/>
      </rPr>
      <t>’</t>
    </r>
    <r>
      <rPr>
        <i/>
        <sz val="10"/>
        <rFont val="Times New Roman"/>
        <family val="1"/>
        <charset val="204"/>
      </rPr>
      <t>ютеру</t>
    </r>
  </si>
  <si>
    <t>План минулого року квартал</t>
  </si>
  <si>
    <t xml:space="preserve">     надходження коштів (оренда)</t>
  </si>
  <si>
    <t>охорона праці</t>
  </si>
  <si>
    <t>безповоротна фінансова допомога (оренда)</t>
  </si>
  <si>
    <t>поштові витрати</t>
  </si>
  <si>
    <t>безповоротна фінансова допомога (сан обробка )</t>
  </si>
  <si>
    <t>насосна станція</t>
  </si>
  <si>
    <t>357/142/20  перша інстанція</t>
  </si>
  <si>
    <t>Жоров В. Ю.</t>
  </si>
  <si>
    <t>357/1693/20  перша інстанція</t>
  </si>
  <si>
    <t>Адамчук А.В.</t>
  </si>
  <si>
    <t>357/1684/20 перша інстанція</t>
  </si>
  <si>
    <t>Бобонова О.А.</t>
  </si>
  <si>
    <t>357/1683/20  перша інстанція</t>
  </si>
  <si>
    <t>Горова Л.О.</t>
  </si>
  <si>
    <t>357/1681/20 перша інстанція</t>
  </si>
  <si>
    <t>Дорогань Л.В.</t>
  </si>
  <si>
    <t>357/1690/20  перша інстанція</t>
  </si>
  <si>
    <t>Кожинська Л.В.</t>
  </si>
  <si>
    <t>357/1443/20  перша інстанція</t>
  </si>
  <si>
    <t>Куртішов Л.Р.</t>
  </si>
  <si>
    <t>357/1692/20 перша інстанція</t>
  </si>
  <si>
    <t>Марченко В.М.</t>
  </si>
  <si>
    <t>357/1687/20  перша інстанція</t>
  </si>
  <si>
    <t>Шульга В.Н.</t>
  </si>
  <si>
    <t>357/1680/20 перша інстанція</t>
  </si>
  <si>
    <t>Горопай Л.В.</t>
  </si>
  <si>
    <t>357/1675/20  перша інстанція</t>
  </si>
  <si>
    <t>357/1669/20 перша інстанція</t>
  </si>
  <si>
    <t>Кулик Н.П.</t>
  </si>
  <si>
    <t>357/1666/20 перша інстанція</t>
  </si>
  <si>
    <t>Шульган І.М.</t>
  </si>
  <si>
    <t>357/1665/20  перша інстанція</t>
  </si>
  <si>
    <t>Кібенко С.Л.</t>
  </si>
  <si>
    <t>357/1664/20  перша інстанція</t>
  </si>
  <si>
    <t>Коцупал О.С.</t>
  </si>
  <si>
    <t>357/1661/20  перша інстанція</t>
  </si>
  <si>
    <t>Шпичак О.М.</t>
  </si>
  <si>
    <t>357/1658/20  перша інстанція</t>
  </si>
  <si>
    <t>Степаненко О.В.</t>
  </si>
  <si>
    <t>357/1956/20  перша інстанція</t>
  </si>
  <si>
    <t>Перебийніс С. В.</t>
  </si>
  <si>
    <t>357/1957/20  перша інстанція</t>
  </si>
  <si>
    <t>357/1994/20  перша інстанція</t>
  </si>
  <si>
    <t>Агафонова К.В.</t>
  </si>
  <si>
    <t>357/1968/20  перша інстанція</t>
  </si>
  <si>
    <t>Бабенко А.О.</t>
  </si>
  <si>
    <t>357/1965/20 перша інстанція</t>
  </si>
  <si>
    <t>Маніло Т.П.</t>
  </si>
  <si>
    <t>357/1979/20  перша інстанція</t>
  </si>
  <si>
    <t>Вітенко Л.М.</t>
  </si>
  <si>
    <t>357/1949/20 перша інстанція</t>
  </si>
  <si>
    <t>Саюстова А.В.</t>
  </si>
  <si>
    <t>357/1948/20  перша інстанція</t>
  </si>
  <si>
    <t>Зуєва О.М.</t>
  </si>
  <si>
    <t>357/1946/20  перша інстанція</t>
  </si>
  <si>
    <t>Михайлішин М.М.</t>
  </si>
  <si>
    <t>357/1908/20  перша інстанція</t>
  </si>
  <si>
    <t>Оверченко Н.О.</t>
  </si>
  <si>
    <t>357/1905/20  перша інстанція</t>
  </si>
  <si>
    <t>Косарєв В.В.</t>
  </si>
  <si>
    <t>ухвала відповідно до п.3 ч.3 ст.163 ЦПК</t>
  </si>
  <si>
    <t>357/1903/20  перша інстанція</t>
  </si>
  <si>
    <t>Пасічник П.М.</t>
  </si>
  <si>
    <t>357/3795/20 перша інстанція</t>
  </si>
  <si>
    <t>Салій Т.М.</t>
  </si>
  <si>
    <t>357/2819/20 перша інстанція</t>
  </si>
  <si>
    <t>Рогаченко М.Л.</t>
  </si>
  <si>
    <t>357/2815/20  перша інстанція</t>
  </si>
  <si>
    <t xml:space="preserve">Григоренко Д.А. </t>
  </si>
  <si>
    <t>357/2810/20  перша інстанція</t>
  </si>
  <si>
    <t>Процак С.М.</t>
  </si>
  <si>
    <t>357/2842/20  перша інстанція</t>
  </si>
  <si>
    <t>Свистаєнко В.Ю.</t>
  </si>
  <si>
    <t>357/3396/20          перша інстанція</t>
  </si>
  <si>
    <t>Стороженко В. М.</t>
  </si>
  <si>
    <t>ухвала   відповідно до п.5.ч.1 ст.165 ЦПК</t>
  </si>
  <si>
    <t>357/3393/20 перша інстанція</t>
  </si>
  <si>
    <t>Кліпінский В.В.</t>
  </si>
  <si>
    <t>357/3388/20 перша інстанція</t>
  </si>
  <si>
    <t>Лебедівський Г.М.</t>
  </si>
  <si>
    <t>357/3405/20 перша інстанція</t>
  </si>
  <si>
    <t>Кравченко Ю.В.</t>
  </si>
  <si>
    <t>357/3359/20 перша інстанція</t>
  </si>
  <si>
    <t>Черепенін С.О.</t>
  </si>
  <si>
    <t>357/3362/20 перша інстанція</t>
  </si>
  <si>
    <t>Булавенко О.С.</t>
  </si>
  <si>
    <t>357/3367/20 перша інстанція</t>
  </si>
  <si>
    <t>Богдан К.Ю.</t>
  </si>
  <si>
    <t>357/3370/20 перша інстанція</t>
  </si>
  <si>
    <t>Насад О.Я.</t>
  </si>
  <si>
    <t>357/3390/20 перша інстанція</t>
  </si>
  <si>
    <t>Григор К.С.</t>
  </si>
  <si>
    <t>357/3397/20 перша інстанція</t>
  </si>
  <si>
    <t>Клочко Л.В.</t>
  </si>
  <si>
    <t>357/3379/20 перша інстанція</t>
  </si>
  <si>
    <t>Солодка Ж.М.</t>
  </si>
  <si>
    <t>357/3382/20 перша інстанція</t>
  </si>
  <si>
    <t>Чудновська Р.Ю.</t>
  </si>
  <si>
    <t>357/3384/20 перша інстанція</t>
  </si>
  <si>
    <t>Кузьомко В.П.</t>
  </si>
  <si>
    <t>357/3385/20 перша інстанція</t>
  </si>
  <si>
    <t>357/3387/20 перша інстанція</t>
  </si>
  <si>
    <t>Папченко О.Б.</t>
  </si>
  <si>
    <t>357/3342/20 перша інстанція</t>
  </si>
  <si>
    <t>Харченко Г.В.</t>
  </si>
  <si>
    <t>357/3334/20 перша інстанція</t>
  </si>
  <si>
    <t>Литвин С.О.</t>
  </si>
  <si>
    <t>357/3329/20 перша інстанція</t>
  </si>
  <si>
    <t>Сініцина І.А.</t>
  </si>
  <si>
    <t>357/3333/20  перша інстанція</t>
  </si>
  <si>
    <t>Таланін С.С.</t>
  </si>
  <si>
    <t>357/3400/20 перша інстанція</t>
  </si>
  <si>
    <t>Поночовний В.Г.</t>
  </si>
  <si>
    <t>357/3353/20 перша інстанція</t>
  </si>
  <si>
    <t>Балицька Н.В.</t>
  </si>
  <si>
    <t>357/3346/20 перша інстанція</t>
  </si>
  <si>
    <t>Цісельська С.М.</t>
  </si>
  <si>
    <t>357/3403/20 перша інстанція</t>
  </si>
  <si>
    <t>Янчук О.К.</t>
  </si>
  <si>
    <t>357/3326/20 перша інстанція</t>
  </si>
  <si>
    <t>Петренко М.В.</t>
  </si>
  <si>
    <t>357/3357/20 перша інстанція</t>
  </si>
  <si>
    <t>Линник Д.С., Линник Д.С.</t>
  </si>
  <si>
    <t>перша інстанція</t>
  </si>
  <si>
    <t>357/4947/20 перша інстанція</t>
  </si>
  <si>
    <t>3574944/20   перша інстанція</t>
  </si>
  <si>
    <t>357/4940/20 перша інстанція</t>
  </si>
  <si>
    <t>357/4934/20 перша інстанція</t>
  </si>
  <si>
    <t>357/4930/20 перша інстанція</t>
  </si>
  <si>
    <t>357/4921/20 перша інстанція</t>
  </si>
  <si>
    <t>357/4916/20 перша інстанція</t>
  </si>
  <si>
    <t>357/4937/20 перша інстанція</t>
  </si>
  <si>
    <t>357/4935/20 перша інстанція</t>
  </si>
  <si>
    <t>357/4924/20 перша інстанція</t>
  </si>
  <si>
    <t>357/4926/20 перша інстанція</t>
  </si>
  <si>
    <t>357/4922/20 перша інстанція</t>
  </si>
  <si>
    <t>357/4920/20 перша інстанція</t>
  </si>
  <si>
    <t>357/4912/20 перша інстанція</t>
  </si>
  <si>
    <t>357/5444/20 перша інстанція</t>
  </si>
  <si>
    <t>357/5442/20 перша інстанція</t>
  </si>
  <si>
    <t>357/5438/20 перша інстанція</t>
  </si>
  <si>
    <t>357/5361/20 перша інстанція</t>
  </si>
  <si>
    <t>357/5358/20 перша інстанція</t>
  </si>
  <si>
    <t>357/5357/20 перша інстанція</t>
  </si>
  <si>
    <t>357/5347/20 перша інстанція</t>
  </si>
  <si>
    <t>357/5445/20 перша інстанція</t>
  </si>
  <si>
    <t xml:space="preserve">                                                                                                                   </t>
  </si>
  <si>
    <t>1кв</t>
  </si>
  <si>
    <t>безповоротна фінансова допомога</t>
  </si>
  <si>
    <t>2кв</t>
  </si>
  <si>
    <t>капитальний ремонт приміщення вул.Леваневського, 34</t>
  </si>
  <si>
    <t xml:space="preserve">Інформація щодо діяльності підприємства упродовж 2013-2019років </t>
  </si>
  <si>
    <t>поповнення статутного фонду</t>
  </si>
  <si>
    <t>використано на капитальний ремонт примищення вул.Леваневського, 34</t>
  </si>
  <si>
    <t>до фінансового звіту за 4 квартал 2020р.</t>
  </si>
  <si>
    <t>за 4 Квартал 2020року</t>
  </si>
  <si>
    <t>вирішити питання про списання багатоквартирного будинку № 84 по вулиці Некрасова з балансу комунального підприємства Білоцерківської міської ради житлово – експлуатаційної контори № 7.</t>
  </si>
  <si>
    <t>ухвала п.5 ч.1 ст.165 ЦПК</t>
  </si>
  <si>
    <t>ухвала пп.3.4.ч.3 ст.165 ЦПК</t>
  </si>
  <si>
    <t>ухвала   відповідно д п.п.3.4.ч.3 ст.163 ЦПК</t>
  </si>
  <si>
    <t>357/5359/20 перша інстанція</t>
  </si>
  <si>
    <t>357/8190/20 перша інстанція</t>
  </si>
  <si>
    <t>357/8183/20 перша інстанція</t>
  </si>
  <si>
    <t>357/8182/20 перша інстанція</t>
  </si>
  <si>
    <t>357/8175/20 перша інстанція</t>
  </si>
  <si>
    <t>357/8174/20 перша інстанція</t>
  </si>
  <si>
    <t>357/8189/20 перша інстанція</t>
  </si>
  <si>
    <t>357/8187/20 перша інстанція</t>
  </si>
  <si>
    <t>357/8186/20 перша інстанція</t>
  </si>
  <si>
    <t>357/8185/20 перша інстанція</t>
  </si>
  <si>
    <t>357/8184/20 перша інстанція</t>
  </si>
  <si>
    <t>357/4943/20 перша інстанція</t>
  </si>
  <si>
    <t>357/6836/20 перша інстанція</t>
  </si>
  <si>
    <t>357/6852/20 перша інстанція</t>
  </si>
  <si>
    <t>357/6854/20 перша інстанція</t>
  </si>
  <si>
    <t>357/6856/20 перша інстанція</t>
  </si>
  <si>
    <t>357/6840/20 перша інстанція</t>
  </si>
  <si>
    <t>357/6846/20 перша інстанція</t>
  </si>
  <si>
    <t>357/7736/20 перша інстанція</t>
  </si>
  <si>
    <t>Мурнін Євгеній Юрійович</t>
  </si>
  <si>
    <t>357/7729/20 перша інстанція</t>
  </si>
  <si>
    <t>Науменко Інна Олександрівна</t>
  </si>
  <si>
    <t>357/7734/20 перша інстанція</t>
  </si>
  <si>
    <t>Степаненко Тетяна Борисівна</t>
  </si>
  <si>
    <t>357/7731/20 перша інстанція</t>
  </si>
  <si>
    <t>Підопригора Володимир Іванович</t>
  </si>
  <si>
    <t>357/7739/20 перша інстанція</t>
  </si>
  <si>
    <t>Стаховська Лідія Михайлівна</t>
  </si>
  <si>
    <t>357/7744/20 перша інстанція</t>
  </si>
  <si>
    <t>Юрченко Юлія Володимирівна</t>
  </si>
  <si>
    <t>357/7742/20 перша інстанція</t>
  </si>
  <si>
    <t>Ковтун Ірина Романівна</t>
  </si>
  <si>
    <t>357/7748/20 перша інстанція</t>
  </si>
  <si>
    <t>Котова Валентина Іванівна</t>
  </si>
  <si>
    <t>357/7751/20 перша інстанція</t>
  </si>
  <si>
    <t>Бондаренко Олена Леонідівна</t>
  </si>
  <si>
    <t>ухвала п.3 ч.3 ст.163 ЦПК</t>
  </si>
  <si>
    <t>357/9140/20 перша інстанція</t>
  </si>
  <si>
    <t>Руденко Тетяна Миколаївна</t>
  </si>
  <si>
    <t>357/9111/20 перша інстанція</t>
  </si>
  <si>
    <t>Первухін Олександр Сергійович</t>
  </si>
  <si>
    <t>357/9144/20 перша інстанція</t>
  </si>
  <si>
    <t>Нєрєзова Людмила Борисівна</t>
  </si>
  <si>
    <t>357/9137/20 перша інстанція</t>
  </si>
  <si>
    <t>Салій Лідія Петрівна</t>
  </si>
  <si>
    <t>357/9135/20 перша інстанція</t>
  </si>
  <si>
    <t>Лемешко Олександр Станіславович</t>
  </si>
  <si>
    <t>357/9132/20 перша інстанція</t>
  </si>
  <si>
    <t>Ященко Світлана Вікторівна</t>
  </si>
  <si>
    <t>357/9128/20 перша інстанція</t>
  </si>
  <si>
    <t>Ільніцька Леся Павлівна</t>
  </si>
  <si>
    <t>357/9125/20 перша інстанція</t>
  </si>
  <si>
    <t>Захарова Віра Захарівна</t>
  </si>
  <si>
    <t>357/9120/20 перша інстанція</t>
  </si>
  <si>
    <t>Кирилюк Марія Володимирівна</t>
  </si>
  <si>
    <t>357/9116/20 перша інстанція</t>
  </si>
  <si>
    <t>Кизило Алла Миколаївна</t>
  </si>
  <si>
    <t>357/9114/20 перша інстанція</t>
  </si>
  <si>
    <t>Заяць Костянтин Олександрович</t>
  </si>
  <si>
    <t>357/9148/20 перша інстанція</t>
  </si>
  <si>
    <t>Щербина Юрій Васильович</t>
  </si>
  <si>
    <t>357/9401/20 перша інстанція</t>
  </si>
  <si>
    <t>Малащенко Наталія Максимівна</t>
  </si>
  <si>
    <t>357/9370/20 перша інстанція</t>
  </si>
  <si>
    <t>Колякіна Раїса Петрівна</t>
  </si>
  <si>
    <t>357/9367/20 перша інстанція</t>
  </si>
  <si>
    <t>Борзак Володимир Іванович</t>
  </si>
  <si>
    <t>357/9363/20 перша інстанція</t>
  </si>
  <si>
    <t>Обухов Володимир Євгенович</t>
  </si>
  <si>
    <t>357/9359/20 перша інстанція</t>
  </si>
  <si>
    <t>Забігайло Алла Іванівна</t>
  </si>
  <si>
    <t>357/9355/20 перша інстанція</t>
  </si>
  <si>
    <t>Поліщук Тетяна Вікторівна</t>
  </si>
  <si>
    <t>357/9351/20 перша інстанція</t>
  </si>
  <si>
    <t>Самар Людмила Вікторівна</t>
  </si>
  <si>
    <t>357/9346/20 перша інстанція</t>
  </si>
  <si>
    <t>Самусенко Наталія Миколаївна</t>
  </si>
  <si>
    <t>357/9402/20 перша інстанція</t>
  </si>
  <si>
    <t>Лягущенко Олег Валентинович</t>
  </si>
  <si>
    <t>357/10247/20 перша інстанція</t>
  </si>
  <si>
    <t>Заєць Микола Миколайович</t>
  </si>
  <si>
    <t>357/10243/20 перша інстанція</t>
  </si>
  <si>
    <t>Римарчук Людмила Анатоліївна</t>
  </si>
  <si>
    <t>357/10251/20 перша інстанція</t>
  </si>
  <si>
    <t>Іванькін Віктор Іванович</t>
  </si>
  <si>
    <t>357/10255/20 перша інстанція</t>
  </si>
  <si>
    <t>Мокрицький Микола Іванович</t>
  </si>
  <si>
    <t>357/10256/20 перша інстанція</t>
  </si>
  <si>
    <t>Клименко Світлана Миколаївна</t>
  </si>
  <si>
    <t xml:space="preserve"> перша інстанція</t>
  </si>
  <si>
    <t>Коваль Наталія Петрівна</t>
  </si>
  <si>
    <t>357/10260/20 перша інстанція</t>
  </si>
  <si>
    <t>Куріцин Юрій Іванович</t>
  </si>
  <si>
    <t>357/10263/20 перша інстанція</t>
  </si>
  <si>
    <t>Батрак Руслана Володимирівна</t>
  </si>
  <si>
    <t>357/10271/20 перша інстанція</t>
  </si>
  <si>
    <t>Тушинський Владислав Адамович</t>
  </si>
  <si>
    <t>357/10273/20 перша інстанція</t>
  </si>
  <si>
    <t xml:space="preserve">Писаренко Людмила Петрівна </t>
  </si>
  <si>
    <t>357/10276/20 перша інстанція</t>
  </si>
  <si>
    <t>Хейленко Зінаїда Петрівна</t>
  </si>
  <si>
    <t>Левашова Діана Рафиківна</t>
  </si>
  <si>
    <t>357/10865/20 перша інстанція</t>
  </si>
  <si>
    <t>Шаповал Олеся Олегівна</t>
  </si>
  <si>
    <t>Загородня Леся Миколаївна</t>
  </si>
  <si>
    <t>Неділя Олег Анатолійович</t>
  </si>
  <si>
    <t>357/10878/20 перша інстанція</t>
  </si>
  <si>
    <t>Білецька Наталія Іванівна</t>
  </si>
  <si>
    <t>Денисенко Артем Вікторович</t>
  </si>
  <si>
    <t>357/10875/20 перша інстанція</t>
  </si>
  <si>
    <t>Линник Андрій Анатолійович</t>
  </si>
  <si>
    <t>357/10873/20 перша інстанція</t>
  </si>
  <si>
    <t>Кривенда Світлана Петрівна</t>
  </si>
  <si>
    <t>357/10872/20 перша інстанція</t>
  </si>
  <si>
    <t>Рябець Василь Григорович</t>
  </si>
  <si>
    <t>357/10862/20 перша інстанція</t>
  </si>
  <si>
    <t>Третьяк Галина Іванівна</t>
  </si>
  <si>
    <t>357/10861/20 перша інстанція</t>
  </si>
  <si>
    <t>Скляренко Світлана Борисівна</t>
  </si>
  <si>
    <t>357/10950/20 перша інстанція</t>
  </si>
  <si>
    <t>Мисецький Адольф Іванович</t>
  </si>
  <si>
    <t>357/10858/20 перша інстанція</t>
  </si>
  <si>
    <t>Протченко Ірина Борисівна</t>
  </si>
  <si>
    <t>357/10859/20 перша інстанція</t>
  </si>
  <si>
    <t>Демиденко Марина Вікторівна</t>
  </si>
  <si>
    <t>357/10949/20 перша інстанція</t>
  </si>
  <si>
    <t>Танцюра Олена Михайлівна</t>
  </si>
  <si>
    <t>Мельничук Олена Вікторівна</t>
  </si>
  <si>
    <t>357/10944/20 перша інстанція</t>
  </si>
  <si>
    <t>Телюк Таісія Василівна</t>
  </si>
  <si>
    <t>357/10940/20 перша інстанція</t>
  </si>
  <si>
    <t>Шабельний Іван Федосійович</t>
  </si>
  <si>
    <t>357/10936/20 перша інстанція</t>
  </si>
  <si>
    <t>Вяткіна Олена Валеріївна</t>
  </si>
  <si>
    <t>357/10926/20 перша інстанція</t>
  </si>
  <si>
    <t>Фіялко Анатолій Михайлович</t>
  </si>
  <si>
    <t>357/10917/20 перша інстанція</t>
  </si>
  <si>
    <t>Даниленко Валентина Олексіївна</t>
  </si>
  <si>
    <t>357/10912/20 перша інстанція</t>
  </si>
  <si>
    <t>Потапенко Жанна Віталіївна</t>
  </si>
  <si>
    <t>357/10860/20 перша інстанція</t>
  </si>
  <si>
    <t>Атаманенко Юрій Михайлович</t>
  </si>
  <si>
    <t>357/12405/20 перша інстанція</t>
  </si>
  <si>
    <t>Лютий Богдан Вікторович</t>
  </si>
  <si>
    <t>357/12399/20 перша інстанція</t>
  </si>
  <si>
    <t>Козаченко Олександр Іванович</t>
  </si>
  <si>
    <t>357/12411/20 перша інстанція</t>
  </si>
  <si>
    <t>Давітадзе Світлана Петрівна</t>
  </si>
  <si>
    <t>357/12418/20 перша інстанція</t>
  </si>
  <si>
    <t>Шуригін Ігор Олександрович</t>
  </si>
  <si>
    <t>357/13998/20 перша інстанція</t>
  </si>
  <si>
    <t>Частова Людмила Анатоліївна</t>
  </si>
  <si>
    <t>357/12424/20 перша інстанція</t>
  </si>
  <si>
    <t>Роговик Олександр Миколайович</t>
  </si>
  <si>
    <t>357/12427/20 перша інстанція</t>
  </si>
  <si>
    <t>Музика Ігор Васильович</t>
  </si>
  <si>
    <t>357/12448/20 перша інстанція</t>
  </si>
  <si>
    <t>Харченко Надія Степанівна</t>
  </si>
  <si>
    <t>357/12461/20 перша інстанція</t>
  </si>
  <si>
    <t>Тхоревська Тетяна Степанівна</t>
  </si>
  <si>
    <t>357/12468/20 перша інстанція</t>
  </si>
  <si>
    <t>Стогнійчук Христина Ярославівна</t>
  </si>
  <si>
    <t>357/12377/20 перша інстанція</t>
  </si>
  <si>
    <t>Радигіна Павліна Онуфріївна</t>
  </si>
  <si>
    <t>357/12475/20 перша інстанція</t>
  </si>
  <si>
    <t>Медвідь Михайло Віталійович</t>
  </si>
  <si>
    <t>Мартиненко Сергій Вікторович</t>
  </si>
  <si>
    <t>357/12580/20 перша інстанція</t>
  </si>
  <si>
    <t>Лукашенко Наталія Григорівна</t>
  </si>
  <si>
    <t>357/12547/20 перша інстанція</t>
  </si>
  <si>
    <t>Литвин Анастасія Ігорівна</t>
  </si>
  <si>
    <t>Колодій(Білобров) Наталія Олександрівна</t>
  </si>
  <si>
    <t>357/12557/20 перша інстанція</t>
  </si>
  <si>
    <t>Данілічева Ольга Григорівна</t>
  </si>
  <si>
    <t>357/12558/20 перша інстанція</t>
  </si>
  <si>
    <t>Мушинський Руслан Іванович</t>
  </si>
  <si>
    <t>357/12560/20 перша інстанція</t>
  </si>
  <si>
    <t>Гречинська Надія Василівна</t>
  </si>
  <si>
    <t>357/12568/20 перша інстанція</t>
  </si>
  <si>
    <t>Блінова Ірина Анатоліївна</t>
  </si>
  <si>
    <t>357/12575/20 перша інстанція</t>
  </si>
  <si>
    <t>Бєлова Інна Вікторівна</t>
  </si>
  <si>
    <t>357/12577/20 перша інстанція</t>
  </si>
  <si>
    <t>Береговий Володимир Володимирович</t>
  </si>
  <si>
    <t>357/12393/20 перша інстанція</t>
  </si>
  <si>
    <t>Барковська Олена Олександрівна</t>
  </si>
  <si>
    <t>357/12395/20 перша інстанція</t>
  </si>
  <si>
    <t>Андріяш Світлана Петрівна</t>
  </si>
  <si>
    <t>357/1534/21 перша інстанція</t>
  </si>
  <si>
    <t>Неміко Світлана Іванівна</t>
  </si>
  <si>
    <t>357/1531/21 перша інстанція</t>
  </si>
  <si>
    <t>Полєхова Оксана Василівна</t>
  </si>
  <si>
    <t>357/1526/21 перша інстанція</t>
  </si>
  <si>
    <t>Горохівський Ігор Святославович</t>
  </si>
  <si>
    <t>357/1606/21 перша інстанція</t>
  </si>
  <si>
    <t>Григорьєва Лариса Петрівна</t>
  </si>
  <si>
    <t>357/1578/21 перша інстанція</t>
  </si>
  <si>
    <t>Деміна Ольга Тихонівна</t>
  </si>
  <si>
    <t>357/1581/21 перша інстанція</t>
  </si>
  <si>
    <t>Звичайний Олександр Вікторович</t>
  </si>
  <si>
    <t>357/1582/21 перша інстанція</t>
  </si>
  <si>
    <t>Казакова Олена В’ячеславівна</t>
  </si>
  <si>
    <t>357/1587/21 перша інстанція</t>
  </si>
  <si>
    <t>Колеснікова Інна Олександрівна</t>
  </si>
  <si>
    <t xml:space="preserve"> 357/1536/21 перша інстанція</t>
  </si>
  <si>
    <t>Лазаренко Владислав Миколайович</t>
  </si>
  <si>
    <t>357/1585/21 перша інстанція</t>
  </si>
  <si>
    <t>Мельник Надія Феліксівна</t>
  </si>
  <si>
    <t>357/1561/21 перша інстанція</t>
  </si>
  <si>
    <t>Мельничук Ольга Андріївна</t>
  </si>
  <si>
    <t>357/1569/21 перша інстанція</t>
  </si>
  <si>
    <t>Олійник Анатолій Анатолійович</t>
  </si>
  <si>
    <t>357/1573/21 перша інстанція</t>
  </si>
  <si>
    <t>Осьмаков Роман Анатолійович</t>
  </si>
  <si>
    <t>Павленко Володимир Петрович</t>
  </si>
  <si>
    <t>357/1567/21 перша інстанція</t>
  </si>
  <si>
    <t>Петриченко Олена Миколаївна</t>
  </si>
  <si>
    <t>357/1565/21 перша інстанція</t>
  </si>
  <si>
    <t>Пилипчук Надія Іванівна</t>
  </si>
  <si>
    <t>357/1563/21 перша інстанція</t>
  </si>
  <si>
    <t>Пустовойт Марія Олександрівна</t>
  </si>
  <si>
    <t>357/1597/21 перша інстанція</t>
  </si>
  <si>
    <t>Рачинська Світлана Миколаївна</t>
  </si>
  <si>
    <t>357/1603/21 перша інстанція</t>
  </si>
  <si>
    <t>Слепанчук Максим Олександрович</t>
  </si>
  <si>
    <t>Чала (Плискань) Альона Василівна</t>
  </si>
  <si>
    <t>Чернобров Олександр Олександрович</t>
  </si>
  <si>
    <t>Відомості про спори немайнового характеру</t>
  </si>
  <si>
    <t>Сторони</t>
  </si>
  <si>
    <t>Стадія розгляду</t>
  </si>
  <si>
    <t>Ю.М.Балас</t>
  </si>
  <si>
    <r>
      <t xml:space="preserve">станом на 31 грудня 2020 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</si>
  <si>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 xml:space="preserve">Сума кредиторської заборгованості 1173 тис. грн </t>
  </si>
  <si>
    <t xml:space="preserve">Сума дебіторської заборгованості 7221 тис. грн 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</si>
  <si>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</si>
  <si>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Розшифровка до звіту виконання фінансового плану                                    за 4 квартал 2020р.</t>
  </si>
  <si>
    <t>Середньооблікова кількість штатних працівників -237чол.</t>
  </si>
  <si>
    <r>
      <t>Керівник Н</t>
    </r>
    <r>
      <rPr>
        <sz val="14"/>
        <rFont val="Times New Roman"/>
        <family val="1"/>
        <charset val="204"/>
      </rPr>
      <t>ачальник</t>
    </r>
  </si>
  <si>
    <t>Керівник Начальник</t>
  </si>
  <si>
    <r>
      <t xml:space="preserve">Керівник </t>
    </r>
    <r>
      <rPr>
        <sz val="14"/>
        <rFont val="Times New Roman"/>
        <family val="1"/>
        <charset val="204"/>
      </rPr>
      <t xml:space="preserve"> Начальник</t>
    </r>
  </si>
  <si>
    <t>Юрист Недужко Ю.В.                              тел.7-16-56</t>
  </si>
  <si>
    <t>Керівник  Начальник Балас Ю.М.</t>
  </si>
  <si>
    <t>3 кв</t>
  </si>
  <si>
    <t>4 кв</t>
  </si>
  <si>
    <t>рік</t>
  </si>
  <si>
    <t>Розшифровка до звіту виконання фінансового плану за  2020р.</t>
  </si>
  <si>
    <t xml:space="preserve">Єдиний внесок на загальнообов'язкове державне соціальне страхування      </t>
  </si>
  <si>
    <t>Балансова вартість
(тис.грн.) 
на 31.12.2020р.</t>
  </si>
  <si>
    <t>по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</si>
  <si>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                                                                Ю.М.Балас</t>
    </r>
  </si>
  <si>
    <t>Головний економіст Кошова Г.В. тел.7-10-34</t>
  </si>
</sst>
</file>

<file path=xl/styles.xml><?xml version="1.0" encoding="utf-8"?>
<styleSheet xmlns="http://schemas.openxmlformats.org/spreadsheetml/2006/main">
  <numFmts count="21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0.0%"/>
    <numFmt numFmtId="178" formatCode="0.000"/>
    <numFmt numFmtId="179" formatCode="#,##0.000"/>
    <numFmt numFmtId="180" formatCode="_(* #,##0.00_);_(* \(#,##0.00\);_(* &quot;-&quot;_);_(@_)"/>
    <numFmt numFmtId="181" formatCode="_(* #,##0.0_);_(* \(#,##0.0\);_(* &quot;-&quot;_);_(@_)"/>
  </numFmts>
  <fonts count="12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Arial Cyr"/>
      <charset val="204"/>
    </font>
    <font>
      <b/>
      <u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i/>
      <u/>
      <sz val="10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4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" fillId="0" borderId="0"/>
    <xf numFmtId="0" fontId="107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</cellStyleXfs>
  <cellXfs count="797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5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0" fontId="76" fillId="0" borderId="3" xfId="0" applyNumberFormat="1" applyFont="1" applyFill="1" applyBorder="1" applyAlignment="1">
      <alignment horizontal="center" vertical="center" wrapText="1"/>
    </xf>
    <xf numFmtId="170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6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7" fillId="0" borderId="15" xfId="0" applyFont="1" applyFill="1" applyBorder="1" applyAlignment="1">
      <alignment vertical="center"/>
    </xf>
    <xf numFmtId="0" fontId="87" fillId="0" borderId="3" xfId="0" applyFont="1" applyFill="1" applyBorder="1" applyAlignment="1">
      <alignment horizontal="left" vertical="center"/>
    </xf>
    <xf numFmtId="170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0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5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6" fillId="0" borderId="22" xfId="0" applyNumberFormat="1" applyFont="1" applyFill="1" applyBorder="1" applyAlignment="1">
      <alignment horizontal="center" vertical="center"/>
    </xf>
    <xf numFmtId="49" fontId="86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85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83" fillId="0" borderId="0" xfId="0" applyFont="1" applyFill="1" applyAlignment="1">
      <alignment horizontal="justify"/>
    </xf>
    <xf numFmtId="0" fontId="84" fillId="0" borderId="3" xfId="0" applyFont="1" applyFill="1" applyBorder="1" applyAlignment="1">
      <alignment horizontal="center" vertical="center" wrapText="1"/>
    </xf>
    <xf numFmtId="0" fontId="84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6" fontId="5" fillId="29" borderId="3" xfId="292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 applyProtection="1">
      <alignment horizontal="center" vertical="center" wrapText="1"/>
    </xf>
    <xf numFmtId="1" fontId="74" fillId="0" borderId="3" xfId="0" applyNumberFormat="1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92" fillId="0" borderId="3" xfId="0" applyFont="1" applyBorder="1" applyAlignment="1">
      <alignment horizontal="center" vertical="center" wrapText="1"/>
    </xf>
    <xf numFmtId="0" fontId="94" fillId="0" borderId="3" xfId="0" applyFont="1" applyBorder="1" applyAlignment="1">
      <alignment horizontal="center" vertical="center" wrapText="1"/>
    </xf>
    <xf numFmtId="0" fontId="95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93" fillId="22" borderId="3" xfId="0" applyFont="1" applyFill="1" applyBorder="1" applyAlignment="1">
      <alignment horizontal="center" vertical="center"/>
    </xf>
    <xf numFmtId="0" fontId="96" fillId="0" borderId="3" xfId="0" applyFont="1" applyBorder="1" applyAlignment="1">
      <alignment vertical="center" wrapText="1"/>
    </xf>
    <xf numFmtId="0" fontId="97" fillId="0" borderId="3" xfId="0" applyFont="1" applyBorder="1" applyAlignment="1">
      <alignment horizontal="center" vertical="center" wrapText="1"/>
    </xf>
    <xf numFmtId="0" fontId="93" fillId="0" borderId="3" xfId="0" applyFont="1" applyBorder="1" applyAlignment="1">
      <alignment horizontal="center" vertical="center"/>
    </xf>
    <xf numFmtId="166" fontId="93" fillId="0" borderId="3" xfId="0" applyNumberFormat="1" applyFont="1" applyBorder="1" applyAlignment="1">
      <alignment horizontal="center" vertical="center"/>
    </xf>
    <xf numFmtId="0" fontId="99" fillId="0" borderId="3" xfId="0" applyFont="1" applyBorder="1" applyAlignment="1">
      <alignment vertical="center" wrapText="1"/>
    </xf>
    <xf numFmtId="0" fontId="100" fillId="0" borderId="3" xfId="0" applyFont="1" applyBorder="1" applyAlignment="1">
      <alignment horizontal="center" vertical="center" wrapText="1"/>
    </xf>
    <xf numFmtId="0" fontId="101" fillId="0" borderId="3" xfId="0" applyFont="1" applyBorder="1" applyAlignment="1">
      <alignment vertical="center" wrapText="1"/>
    </xf>
    <xf numFmtId="0" fontId="102" fillId="0" borderId="3" xfId="0" applyFont="1" applyBorder="1" applyAlignment="1">
      <alignment horizontal="center" vertical="center" wrapText="1"/>
    </xf>
    <xf numFmtId="0" fontId="103" fillId="0" borderId="3" xfId="0" applyFont="1" applyBorder="1" applyAlignment="1">
      <alignment horizontal="center" vertical="center"/>
    </xf>
    <xf numFmtId="0" fontId="90" fillId="0" borderId="3" xfId="0" applyFont="1" applyBorder="1" applyAlignment="1">
      <alignment horizontal="center" vertical="center"/>
    </xf>
    <xf numFmtId="0" fontId="91" fillId="0" borderId="3" xfId="0" applyFont="1" applyBorder="1" applyAlignment="1">
      <alignment horizontal="center" vertical="center"/>
    </xf>
    <xf numFmtId="0" fontId="104" fillId="0" borderId="3" xfId="0" applyFont="1" applyBorder="1" applyAlignment="1">
      <alignment vertical="center" wrapText="1"/>
    </xf>
    <xf numFmtId="1" fontId="0" fillId="0" borderId="0" xfId="0" applyNumberFormat="1"/>
    <xf numFmtId="0" fontId="86" fillId="0" borderId="3" xfId="0" applyFont="1" applyBorder="1" applyAlignment="1">
      <alignment horizontal="center" vertical="center"/>
    </xf>
    <xf numFmtId="1" fontId="86" fillId="0" borderId="3" xfId="0" applyNumberFormat="1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105" fillId="0" borderId="3" xfId="0" applyFont="1" applyBorder="1" applyAlignment="1">
      <alignment vertical="center" wrapText="1"/>
    </xf>
    <xf numFmtId="0" fontId="91" fillId="22" borderId="3" xfId="0" applyFont="1" applyFill="1" applyBorder="1" applyAlignment="1">
      <alignment horizontal="left" vertical="center" wrapText="1"/>
    </xf>
    <xf numFmtId="0" fontId="106" fillId="0" borderId="3" xfId="0" applyFont="1" applyBorder="1" applyAlignment="1">
      <alignment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70" fillId="0" borderId="0" xfId="245" applyFont="1" applyFill="1" applyBorder="1" applyAlignment="1">
      <alignment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179" fontId="5" fillId="0" borderId="3" xfId="237" applyNumberFormat="1" applyFont="1" applyFill="1" applyBorder="1" applyAlignment="1">
      <alignment horizontal="center" vertical="center" wrapText="1"/>
    </xf>
    <xf numFmtId="178" fontId="5" fillId="0" borderId="3" xfId="237" applyNumberFormat="1" applyFont="1" applyFill="1" applyBorder="1" applyAlignment="1">
      <alignment horizontal="center" vertical="center" wrapText="1"/>
    </xf>
    <xf numFmtId="178" fontId="11" fillId="0" borderId="3" xfId="0" applyNumberFormat="1" applyFont="1" applyFill="1" applyBorder="1" applyAlignment="1">
      <alignment vertical="center"/>
    </xf>
    <xf numFmtId="176" fontId="5" fillId="29" borderId="3" xfId="0" applyNumberFormat="1" applyFont="1" applyFill="1" applyBorder="1" applyAlignment="1">
      <alignment horizontal="center" vertical="center" wrapText="1"/>
    </xf>
    <xf numFmtId="180" fontId="5" fillId="29" borderId="3" xfId="0" applyNumberFormat="1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/>
    </xf>
    <xf numFmtId="0" fontId="108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justify" vertical="center"/>
    </xf>
    <xf numFmtId="0" fontId="108" fillId="0" borderId="3" xfId="0" applyFont="1" applyBorder="1" applyAlignment="1">
      <alignment vertical="center"/>
    </xf>
    <xf numFmtId="176" fontId="4" fillId="29" borderId="3" xfId="0" applyNumberFormat="1" applyFont="1" applyFill="1" applyBorder="1" applyAlignment="1">
      <alignment horizontal="center" vertical="center" wrapText="1"/>
    </xf>
    <xf numFmtId="0" fontId="109" fillId="0" borderId="0" xfId="0" applyFont="1"/>
    <xf numFmtId="181" fontId="5" fillId="0" borderId="3" xfId="0" applyNumberFormat="1" applyFont="1" applyFill="1" applyBorder="1" applyAlignment="1">
      <alignment horizontal="center" vertical="center" wrapText="1"/>
    </xf>
    <xf numFmtId="1" fontId="111" fillId="0" borderId="3" xfId="0" applyNumberFormat="1" applyFont="1" applyFill="1" applyBorder="1" applyAlignment="1">
      <alignment horizontal="center" wrapText="1"/>
    </xf>
    <xf numFmtId="0" fontId="11" fillId="0" borderId="3" xfId="245" applyFont="1" applyFill="1" applyBorder="1" applyAlignment="1">
      <alignment horizontal="left" vertical="center" wrapText="1"/>
    </xf>
    <xf numFmtId="0" fontId="91" fillId="0" borderId="3" xfId="245" applyFont="1" applyFill="1" applyBorder="1" applyAlignment="1">
      <alignment horizontal="left" vertical="center" wrapText="1"/>
    </xf>
    <xf numFmtId="0" fontId="112" fillId="0" borderId="3" xfId="0" applyFont="1" applyBorder="1" applyAlignment="1">
      <alignment horizontal="center" vertical="center"/>
    </xf>
    <xf numFmtId="181" fontId="4" fillId="29" borderId="3" xfId="0" applyNumberFormat="1" applyFont="1" applyFill="1" applyBorder="1" applyAlignment="1">
      <alignment horizontal="center" vertical="center" wrapText="1"/>
    </xf>
    <xf numFmtId="1" fontId="98" fillId="0" borderId="3" xfId="0" applyNumberFormat="1" applyFont="1" applyBorder="1" applyAlignment="1">
      <alignment horizontal="center" vertical="center"/>
    </xf>
    <xf numFmtId="178" fontId="84" fillId="31" borderId="3" xfId="0" applyNumberFormat="1" applyFont="1" applyFill="1" applyBorder="1" applyAlignment="1">
      <alignment horizontal="center" vertical="top" wrapText="1"/>
    </xf>
    <xf numFmtId="177" fontId="84" fillId="31" borderId="3" xfId="292" applyNumberFormat="1" applyFont="1" applyFill="1" applyBorder="1" applyAlignment="1">
      <alignment horizontal="center" vertical="top" wrapText="1"/>
    </xf>
    <xf numFmtId="0" fontId="69" fillId="31" borderId="0" xfId="0" applyFont="1" applyFill="1" applyBorder="1" applyAlignment="1">
      <alignment horizontal="left" vertical="center"/>
    </xf>
    <xf numFmtId="0" fontId="9" fillId="31" borderId="17" xfId="0" applyFont="1" applyFill="1" applyBorder="1" applyAlignment="1">
      <alignment vertical="center"/>
    </xf>
    <xf numFmtId="170" fontId="5" fillId="31" borderId="3" xfId="0" applyNumberFormat="1" applyFont="1" applyFill="1" applyBorder="1" applyAlignment="1">
      <alignment horizontal="center" vertical="center" wrapText="1"/>
    </xf>
    <xf numFmtId="176" fontId="5" fillId="31" borderId="3" xfId="0" applyNumberFormat="1" applyFont="1" applyFill="1" applyBorder="1" applyAlignment="1">
      <alignment horizontal="center" vertical="center" wrapText="1"/>
    </xf>
    <xf numFmtId="175" fontId="5" fillId="31" borderId="3" xfId="0" applyNumberFormat="1" applyFont="1" applyFill="1" applyBorder="1" applyAlignment="1">
      <alignment horizontal="center" vertical="center" wrapText="1"/>
    </xf>
    <xf numFmtId="170" fontId="9" fillId="31" borderId="3" xfId="0" applyNumberFormat="1" applyFont="1" applyFill="1" applyBorder="1" applyAlignment="1">
      <alignment horizontal="center" vertical="center" wrapText="1"/>
    </xf>
    <xf numFmtId="170" fontId="4" fillId="31" borderId="3" xfId="0" applyNumberFormat="1" applyFont="1" applyFill="1" applyBorder="1" applyAlignment="1">
      <alignment horizontal="center" vertical="center" wrapText="1"/>
    </xf>
    <xf numFmtId="176" fontId="4" fillId="31" borderId="3" xfId="0" applyNumberFormat="1" applyFont="1" applyFill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horizontal="center" vertical="center" wrapText="1"/>
    </xf>
    <xf numFmtId="181" fontId="5" fillId="31" borderId="3" xfId="0" applyNumberFormat="1" applyFont="1" applyFill="1" applyBorder="1" applyAlignment="1">
      <alignment horizontal="center" vertical="center" wrapText="1"/>
    </xf>
    <xf numFmtId="1" fontId="109" fillId="0" borderId="0" xfId="0" applyNumberFormat="1" applyFont="1"/>
    <xf numFmtId="175" fontId="5" fillId="31" borderId="3" xfId="0" applyNumberFormat="1" applyFont="1" applyFill="1" applyBorder="1" applyAlignment="1">
      <alignment horizontal="center" vertical="center" wrapText="1"/>
    </xf>
    <xf numFmtId="171" fontId="5" fillId="31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08" fillId="0" borderId="3" xfId="0" applyFont="1" applyFill="1" applyBorder="1" applyAlignment="1">
      <alignment horizontal="right" vertical="center" wrapText="1"/>
    </xf>
    <xf numFmtId="0" fontId="108" fillId="0" borderId="3" xfId="0" applyFont="1" applyFill="1" applyBorder="1" applyAlignment="1">
      <alignment horizontal="right" vertical="center"/>
    </xf>
    <xf numFmtId="181" fontId="6" fillId="29" borderId="3" xfId="0" applyNumberFormat="1" applyFont="1" applyFill="1" applyBorder="1" applyAlignment="1">
      <alignment horizontal="center" vertical="center" wrapText="1"/>
    </xf>
    <xf numFmtId="170" fontId="110" fillId="0" borderId="3" xfId="0" applyNumberFormat="1" applyFont="1" applyFill="1" applyBorder="1" applyAlignment="1">
      <alignment horizontal="center" vertical="center" wrapText="1"/>
    </xf>
    <xf numFmtId="175" fontId="5" fillId="31" borderId="3" xfId="0" applyNumberFormat="1" applyFont="1" applyFill="1" applyBorder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175" fontId="4" fillId="31" borderId="3" xfId="0" applyNumberFormat="1" applyFont="1" applyFill="1" applyBorder="1" applyAlignment="1">
      <alignment horizontal="center" vertical="center" wrapText="1"/>
    </xf>
    <xf numFmtId="175" fontId="114" fillId="0" borderId="3" xfId="0" applyNumberFormat="1" applyFont="1" applyFill="1" applyBorder="1" applyAlignment="1">
      <alignment horizontal="center" vertical="center" wrapText="1"/>
    </xf>
    <xf numFmtId="175" fontId="114" fillId="29" borderId="3" xfId="0" applyNumberFormat="1" applyFont="1" applyFill="1" applyBorder="1" applyAlignment="1">
      <alignment horizontal="center" vertical="center" wrapText="1"/>
    </xf>
    <xf numFmtId="166" fontId="93" fillId="22" borderId="0" xfId="0" applyNumberFormat="1" applyFont="1" applyFill="1" applyBorder="1" applyAlignment="1">
      <alignment horizontal="center" vertical="center"/>
    </xf>
    <xf numFmtId="0" fontId="95" fillId="0" borderId="0" xfId="0" applyFont="1" applyBorder="1" applyAlignment="1">
      <alignment horizontal="center" vertical="center"/>
    </xf>
    <xf numFmtId="0" fontId="93" fillId="0" borderId="0" xfId="0" applyFont="1" applyBorder="1" applyAlignment="1">
      <alignment horizontal="center" vertical="center"/>
    </xf>
    <xf numFmtId="0" fontId="90" fillId="0" borderId="0" xfId="0" applyFont="1" applyBorder="1" applyAlignment="1">
      <alignment horizontal="center" vertical="center"/>
    </xf>
    <xf numFmtId="0" fontId="86" fillId="0" borderId="0" xfId="0" applyFont="1" applyBorder="1" applyAlignment="1">
      <alignment horizontal="center" vertical="center"/>
    </xf>
    <xf numFmtId="0" fontId="103" fillId="0" borderId="0" xfId="0" applyFont="1" applyBorder="1" applyAlignment="1">
      <alignment horizontal="center" vertical="center"/>
    </xf>
    <xf numFmtId="0" fontId="93" fillId="22" borderId="0" xfId="0" applyFont="1" applyFill="1" applyBorder="1" applyAlignment="1">
      <alignment horizontal="center" vertical="center"/>
    </xf>
    <xf numFmtId="166" fontId="93" fillId="0" borderId="0" xfId="0" applyNumberFormat="1" applyFont="1" applyBorder="1" applyAlignment="1">
      <alignment horizontal="center" vertical="center"/>
    </xf>
    <xf numFmtId="1" fontId="98" fillId="0" borderId="0" xfId="0" applyNumberFormat="1" applyFont="1" applyBorder="1" applyAlignment="1">
      <alignment horizontal="center" vertical="center"/>
    </xf>
    <xf numFmtId="1" fontId="86" fillId="0" borderId="0" xfId="0" applyNumberFormat="1" applyFont="1" applyBorder="1" applyAlignment="1">
      <alignment horizontal="center" vertical="center"/>
    </xf>
    <xf numFmtId="0" fontId="91" fillId="0" borderId="0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0" fillId="0" borderId="0" xfId="0" applyBorder="1"/>
    <xf numFmtId="0" fontId="75" fillId="0" borderId="0" xfId="0" applyFont="1" applyFill="1" applyBorder="1" applyAlignment="1">
      <alignment horizontal="left" vertical="center" wrapText="1"/>
    </xf>
    <xf numFmtId="0" fontId="70" fillId="0" borderId="0" xfId="0" quotePrefix="1" applyNumberFormat="1" applyFont="1" applyFill="1" applyBorder="1" applyAlignment="1">
      <alignment horizontal="center" vertical="center"/>
    </xf>
    <xf numFmtId="0" fontId="5" fillId="31" borderId="13" xfId="0" applyFont="1" applyFill="1" applyBorder="1" applyAlignment="1">
      <alignment vertical="center" wrapText="1"/>
    </xf>
    <xf numFmtId="0" fontId="5" fillId="31" borderId="3" xfId="0" applyFont="1" applyFill="1" applyBorder="1" applyAlignment="1">
      <alignment horizontal="center" vertical="center" wrapText="1"/>
    </xf>
    <xf numFmtId="0" fontId="4" fillId="31" borderId="3" xfId="0" applyFont="1" applyFill="1" applyBorder="1" applyAlignment="1">
      <alignment horizontal="left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175" fontId="5" fillId="31" borderId="14" xfId="0" applyNumberFormat="1" applyFont="1" applyFill="1" applyBorder="1" applyAlignment="1">
      <alignment horizontal="center" vertical="center" wrapText="1"/>
    </xf>
    <xf numFmtId="175" fontId="5" fillId="31" borderId="16" xfId="0" applyNumberFormat="1" applyFont="1" applyFill="1" applyBorder="1" applyAlignment="1">
      <alignment horizontal="center" vertical="center" wrapText="1"/>
    </xf>
    <xf numFmtId="175" fontId="5" fillId="31" borderId="15" xfId="0" applyNumberFormat="1" applyFont="1" applyFill="1" applyBorder="1" applyAlignment="1">
      <alignment horizontal="center" vertical="center" wrapText="1"/>
    </xf>
    <xf numFmtId="175" fontId="5" fillId="33" borderId="14" xfId="0" applyNumberFormat="1" applyFont="1" applyFill="1" applyBorder="1" applyAlignment="1">
      <alignment horizontal="center" vertical="center" wrapText="1"/>
    </xf>
    <xf numFmtId="175" fontId="5" fillId="33" borderId="16" xfId="0" applyNumberFormat="1" applyFont="1" applyFill="1" applyBorder="1" applyAlignment="1">
      <alignment horizontal="center" vertical="center" wrapText="1"/>
    </xf>
    <xf numFmtId="175" fontId="5" fillId="33" borderId="15" xfId="0" applyNumberFormat="1" applyFont="1" applyFill="1" applyBorder="1" applyAlignment="1">
      <alignment horizontal="center" vertical="center" wrapText="1"/>
    </xf>
    <xf numFmtId="175" fontId="5" fillId="0" borderId="16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left" vertical="center" wrapText="1"/>
    </xf>
    <xf numFmtId="167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horizontal="left" vertical="justify" wrapText="1"/>
    </xf>
    <xf numFmtId="0" fontId="70" fillId="0" borderId="0" xfId="0" applyFont="1" applyFill="1" applyBorder="1" applyAlignment="1">
      <alignment horizontal="center" vertical="justify"/>
    </xf>
    <xf numFmtId="0" fontId="70" fillId="0" borderId="3" xfId="0" applyFont="1" applyFill="1" applyBorder="1" applyAlignment="1">
      <alignment horizontal="left" vertical="center" wrapText="1"/>
    </xf>
    <xf numFmtId="0" fontId="85" fillId="0" borderId="1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Border="1" applyAlignment="1" applyProtection="1">
      <alignment horizontal="center" vertical="center"/>
      <protection locked="0"/>
    </xf>
    <xf numFmtId="0" fontId="12" fillId="0" borderId="0" xfId="285" applyFont="1" applyBorder="1" applyAlignment="1" applyProtection="1">
      <protection locked="0"/>
    </xf>
    <xf numFmtId="0" fontId="12" fillId="0" borderId="0" xfId="285" applyFont="1" applyBorder="1" applyProtection="1">
      <protection locked="0"/>
    </xf>
    <xf numFmtId="0" fontId="108" fillId="0" borderId="3" xfId="0" applyFont="1" applyBorder="1" applyAlignment="1">
      <alignment vertical="top" wrapText="1"/>
    </xf>
    <xf numFmtId="0" fontId="108" fillId="0" borderId="3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justify" vertical="top"/>
    </xf>
    <xf numFmtId="0" fontId="108" fillId="0" borderId="3" xfId="0" applyFont="1" applyBorder="1" applyAlignment="1">
      <alignment vertical="top"/>
    </xf>
    <xf numFmtId="0" fontId="108" fillId="0" borderId="3" xfId="0" applyFont="1" applyBorder="1" applyAlignment="1">
      <alignment horizontal="right" vertical="top"/>
    </xf>
    <xf numFmtId="0" fontId="11" fillId="0" borderId="3" xfId="285" applyFont="1" applyBorder="1" applyAlignment="1">
      <alignment horizontal="center" vertical="top"/>
    </xf>
    <xf numFmtId="0" fontId="11" fillId="0" borderId="3" xfId="285" applyFont="1" applyFill="1" applyBorder="1" applyAlignment="1" applyProtection="1">
      <alignment horizontal="center" vertical="top" wrapText="1"/>
      <protection locked="0"/>
    </xf>
    <xf numFmtId="0" fontId="11" fillId="0" borderId="3" xfId="0" applyFont="1" applyBorder="1" applyAlignment="1">
      <alignment vertical="top" wrapText="1"/>
    </xf>
    <xf numFmtId="0" fontId="11" fillId="0" borderId="3" xfId="285" applyFont="1" applyFill="1" applyBorder="1" applyAlignment="1" applyProtection="1">
      <alignment vertical="top" wrapText="1"/>
      <protection locked="0"/>
    </xf>
    <xf numFmtId="0" fontId="11" fillId="0" borderId="3" xfId="285" applyFont="1" applyFill="1" applyBorder="1" applyAlignment="1" applyProtection="1">
      <alignment horizontal="right" vertical="top" wrapText="1"/>
      <protection locked="0"/>
    </xf>
    <xf numFmtId="0" fontId="11" fillId="0" borderId="3" xfId="0" applyFont="1" applyBorder="1" applyAlignment="1">
      <alignment vertical="top"/>
    </xf>
    <xf numFmtId="0" fontId="11" fillId="0" borderId="3" xfId="285" applyFont="1" applyBorder="1" applyAlignment="1">
      <alignment horizontal="center" vertical="top" wrapText="1"/>
    </xf>
    <xf numFmtId="0" fontId="11" fillId="0" borderId="3" xfId="0" applyFont="1" applyFill="1" applyBorder="1" applyAlignment="1">
      <alignment horizontal="right" vertical="top"/>
    </xf>
    <xf numFmtId="0" fontId="11" fillId="0" borderId="3" xfId="0" applyFont="1" applyFill="1" applyBorder="1" applyAlignment="1">
      <alignment horizontal="right" vertical="center"/>
    </xf>
    <xf numFmtId="0" fontId="11" fillId="0" borderId="3" xfId="285" applyFont="1" applyBorder="1" applyAlignment="1">
      <alignment vertical="top" wrapText="1"/>
    </xf>
    <xf numFmtId="0" fontId="11" fillId="0" borderId="3" xfId="0" applyFont="1" applyFill="1" applyBorder="1" applyAlignment="1">
      <alignment vertical="top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1" fillId="0" borderId="3" xfId="0" applyFont="1" applyBorder="1" applyAlignment="1">
      <alignment horizontal="center" vertical="top"/>
    </xf>
    <xf numFmtId="0" fontId="11" fillId="0" borderId="14" xfId="285" applyFont="1" applyBorder="1" applyAlignment="1">
      <alignment vertical="top"/>
    </xf>
    <xf numFmtId="0" fontId="11" fillId="0" borderId="3" xfId="285" applyFont="1" applyBorder="1" applyAlignment="1">
      <alignment vertical="top"/>
    </xf>
    <xf numFmtId="0" fontId="11" fillId="0" borderId="3" xfId="285" applyFont="1" applyFill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horizontal="right" vertical="top"/>
    </xf>
    <xf numFmtId="0" fontId="70" fillId="0" borderId="3" xfId="0" applyFont="1" applyBorder="1" applyAlignment="1">
      <alignment vertical="top"/>
    </xf>
    <xf numFmtId="0" fontId="11" fillId="0" borderId="3" xfId="285" applyFont="1" applyFill="1" applyBorder="1" applyAlignment="1">
      <alignment horizontal="center" vertical="top"/>
    </xf>
    <xf numFmtId="0" fontId="11" fillId="0" borderId="3" xfId="0" applyFont="1" applyFill="1" applyBorder="1" applyAlignment="1">
      <alignment vertical="top" wrapText="1"/>
    </xf>
    <xf numFmtId="0" fontId="11" fillId="0" borderId="0" xfId="285" applyFont="1"/>
    <xf numFmtId="0" fontId="11" fillId="0" borderId="0" xfId="285" applyFont="1" applyFill="1"/>
    <xf numFmtId="0" fontId="11" fillId="0" borderId="0" xfId="285" applyFont="1" applyFill="1" applyBorder="1" applyAlignment="1">
      <alignment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vertical="top" wrapText="1"/>
    </xf>
    <xf numFmtId="0" fontId="0" fillId="0" borderId="20" xfId="0" applyBorder="1" applyAlignment="1">
      <alignment wrapText="1"/>
    </xf>
    <xf numFmtId="0" fontId="12" fillId="0" borderId="20" xfId="285" applyFont="1" applyFill="1" applyBorder="1" applyAlignment="1" applyProtection="1">
      <alignment horizontal="center" vertical="center" wrapText="1"/>
      <protection locked="0"/>
    </xf>
    <xf numFmtId="0" fontId="70" fillId="0" borderId="3" xfId="0" applyFont="1" applyBorder="1" applyAlignment="1">
      <alignment vertical="top" wrapText="1"/>
    </xf>
    <xf numFmtId="1" fontId="93" fillId="22" borderId="3" xfId="0" applyNumberFormat="1" applyFont="1" applyFill="1" applyBorder="1" applyAlignment="1">
      <alignment horizontal="center" vertical="center"/>
    </xf>
    <xf numFmtId="0" fontId="70" fillId="0" borderId="14" xfId="0" quotePrefix="1" applyNumberFormat="1" applyFont="1" applyFill="1" applyBorder="1" applyAlignment="1">
      <alignment horizontal="center" vertical="center"/>
    </xf>
    <xf numFmtId="0" fontId="91" fillId="0" borderId="3" xfId="0" applyFont="1" applyBorder="1" applyAlignment="1">
      <alignment horizontal="center"/>
    </xf>
    <xf numFmtId="0" fontId="119" fillId="0" borderId="3" xfId="0" applyFont="1" applyBorder="1" applyAlignment="1">
      <alignment horizontal="center" vertical="top"/>
    </xf>
    <xf numFmtId="0" fontId="121" fillId="0" borderId="3" xfId="0" applyFont="1" applyBorder="1" applyAlignment="1">
      <alignment vertical="top"/>
    </xf>
    <xf numFmtId="0" fontId="91" fillId="0" borderId="3" xfId="0" applyFont="1" applyBorder="1" applyAlignment="1">
      <alignment vertical="top"/>
    </xf>
    <xf numFmtId="0" fontId="91" fillId="0" borderId="3" xfId="0" applyFont="1" applyBorder="1" applyAlignment="1">
      <alignment horizontal="center" vertical="top"/>
    </xf>
    <xf numFmtId="0" fontId="117" fillId="0" borderId="3" xfId="0" applyFont="1" applyBorder="1" applyAlignment="1">
      <alignment vertical="top" wrapText="1"/>
    </xf>
    <xf numFmtId="0" fontId="0" fillId="0" borderId="14" xfId="0" applyBorder="1" applyAlignment="1">
      <alignment vertical="top"/>
    </xf>
    <xf numFmtId="0" fontId="0" fillId="0" borderId="3" xfId="0" applyFont="1" applyBorder="1" applyAlignment="1">
      <alignment vertical="top"/>
    </xf>
    <xf numFmtId="0" fontId="75" fillId="0" borderId="3" xfId="0" applyFont="1" applyBorder="1" applyAlignment="1">
      <alignment horizontal="center" vertical="top"/>
    </xf>
    <xf numFmtId="0" fontId="75" fillId="0" borderId="3" xfId="0" applyFont="1" applyFill="1" applyBorder="1" applyAlignment="1">
      <alignment horizontal="center" vertical="top" wrapText="1"/>
    </xf>
    <xf numFmtId="0" fontId="75" fillId="0" borderId="3" xfId="0" quotePrefix="1" applyNumberFormat="1" applyFont="1" applyFill="1" applyBorder="1" applyAlignment="1">
      <alignment horizontal="center" vertical="top"/>
    </xf>
    <xf numFmtId="0" fontId="99" fillId="0" borderId="3" xfId="0" applyFont="1" applyBorder="1" applyAlignment="1">
      <alignment horizontal="center" vertical="top" wrapText="1"/>
    </xf>
    <xf numFmtId="0" fontId="101" fillId="0" borderId="3" xfId="0" applyFont="1" applyBorder="1" applyAlignment="1">
      <alignment horizontal="center" vertical="top" wrapText="1"/>
    </xf>
    <xf numFmtId="0" fontId="105" fillId="0" borderId="3" xfId="0" applyFont="1" applyBorder="1" applyAlignment="1">
      <alignment horizontal="center" vertical="top" wrapText="1"/>
    </xf>
    <xf numFmtId="0" fontId="99" fillId="0" borderId="3" xfId="0" applyFont="1" applyBorder="1" applyAlignment="1">
      <alignment horizontal="center" vertical="top"/>
    </xf>
    <xf numFmtId="0" fontId="75" fillId="0" borderId="3" xfId="0" applyFont="1" applyFill="1" applyBorder="1" applyAlignment="1">
      <alignment horizontal="center" vertical="top"/>
    </xf>
    <xf numFmtId="0" fontId="119" fillId="22" borderId="3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quotePrefix="1" applyFont="1" applyFill="1" applyBorder="1" applyAlignment="1">
      <alignment horizontal="center" vertical="top"/>
    </xf>
    <xf numFmtId="0" fontId="91" fillId="0" borderId="3" xfId="0" applyFont="1" applyFill="1" applyBorder="1" applyAlignment="1">
      <alignment horizontal="center" vertical="top" wrapText="1"/>
    </xf>
    <xf numFmtId="166" fontId="119" fillId="0" borderId="3" xfId="0" applyNumberFormat="1" applyFont="1" applyBorder="1" applyAlignment="1">
      <alignment horizontal="center" vertical="top"/>
    </xf>
    <xf numFmtId="1" fontId="120" fillId="0" borderId="3" xfId="0" applyNumberFormat="1" applyFont="1" applyBorder="1" applyAlignment="1">
      <alignment horizontal="center" vertical="top"/>
    </xf>
    <xf numFmtId="1" fontId="101" fillId="0" borderId="3" xfId="0" applyNumberFormat="1" applyFont="1" applyBorder="1" applyAlignment="1">
      <alignment horizontal="center" vertical="top" wrapText="1"/>
    </xf>
    <xf numFmtId="1" fontId="99" fillId="0" borderId="3" xfId="0" applyNumberFormat="1" applyFont="1" applyBorder="1" applyAlignment="1">
      <alignment horizontal="center" vertical="top" wrapText="1"/>
    </xf>
    <xf numFmtId="1" fontId="75" fillId="0" borderId="3" xfId="0" applyNumberFormat="1" applyFont="1" applyBorder="1" applyAlignment="1">
      <alignment horizontal="center" vertical="top"/>
    </xf>
    <xf numFmtId="0" fontId="117" fillId="0" borderId="3" xfId="0" applyFont="1" applyBorder="1" applyAlignment="1">
      <alignment vertical="top"/>
    </xf>
    <xf numFmtId="0" fontId="122" fillId="0" borderId="3" xfId="0" applyFont="1" applyBorder="1" applyAlignment="1">
      <alignment horizontal="center" vertical="top" wrapText="1"/>
    </xf>
    <xf numFmtId="0" fontId="75" fillId="0" borderId="3" xfId="245" applyFont="1" applyFill="1" applyBorder="1" applyAlignment="1">
      <alignment horizontal="center" vertical="top" wrapText="1"/>
    </xf>
    <xf numFmtId="0" fontId="75" fillId="0" borderId="3" xfId="245" applyFont="1" applyFill="1" applyBorder="1" applyAlignment="1">
      <alignment horizontal="center" vertical="top"/>
    </xf>
    <xf numFmtId="0" fontId="120" fillId="0" borderId="3" xfId="0" applyFont="1" applyBorder="1" applyAlignment="1">
      <alignment horizontal="center" vertical="top" wrapText="1"/>
    </xf>
    <xf numFmtId="1" fontId="119" fillId="22" borderId="3" xfId="0" applyNumberFormat="1" applyFont="1" applyFill="1" applyBorder="1" applyAlignment="1">
      <alignment horizontal="center" vertical="top"/>
    </xf>
    <xf numFmtId="0" fontId="11" fillId="0" borderId="3" xfId="0" applyFont="1" applyBorder="1" applyAlignment="1">
      <alignment horizontal="center"/>
    </xf>
    <xf numFmtId="0" fontId="95" fillId="0" borderId="14" xfId="0" applyFont="1" applyBorder="1" applyAlignment="1">
      <alignment horizontal="center" vertical="center" wrapText="1"/>
    </xf>
    <xf numFmtId="0" fontId="118" fillId="0" borderId="14" xfId="0" applyFont="1" applyBorder="1" applyAlignment="1">
      <alignment horizontal="center" vertical="center" wrapText="1"/>
    </xf>
    <xf numFmtId="0" fontId="85" fillId="0" borderId="14" xfId="0" quotePrefix="1" applyFont="1" applyFill="1" applyBorder="1" applyAlignment="1">
      <alignment horizontal="center" vertical="center"/>
    </xf>
    <xf numFmtId="0" fontId="103" fillId="0" borderId="14" xfId="0" applyFont="1" applyBorder="1" applyAlignment="1">
      <alignment horizontal="center" vertical="center" wrapText="1"/>
    </xf>
    <xf numFmtId="49" fontId="85" fillId="0" borderId="14" xfId="0" applyNumberFormat="1" applyFont="1" applyFill="1" applyBorder="1" applyAlignment="1">
      <alignment horizontal="center" vertical="center"/>
    </xf>
    <xf numFmtId="0" fontId="85" fillId="0" borderId="14" xfId="0" quotePrefix="1" applyNumberFormat="1" applyFont="1" applyFill="1" applyBorder="1" applyAlignment="1">
      <alignment horizontal="center" vertical="center"/>
    </xf>
    <xf numFmtId="0" fontId="11" fillId="0" borderId="13" xfId="285" applyFont="1" applyBorder="1" applyAlignment="1">
      <alignment horizontal="center"/>
    </xf>
    <xf numFmtId="0" fontId="11" fillId="0" borderId="13" xfId="285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center"/>
    </xf>
    <xf numFmtId="0" fontId="11" fillId="0" borderId="3" xfId="285" applyFont="1" applyBorder="1" applyAlignment="1">
      <alignment horizontal="center"/>
    </xf>
    <xf numFmtId="0" fontId="11" fillId="0" borderId="0" xfId="285" applyFont="1" applyBorder="1" applyAlignment="1"/>
    <xf numFmtId="0" fontId="11" fillId="0" borderId="0" xfId="285" applyFont="1" applyBorder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vertical="center" wrapText="1"/>
    </xf>
    <xf numFmtId="0" fontId="11" fillId="0" borderId="3" xfId="285" applyFont="1" applyFill="1" applyBorder="1" applyAlignment="1">
      <alignment horizontal="right" wrapText="1"/>
    </xf>
    <xf numFmtId="0" fontId="11" fillId="0" borderId="3" xfId="0" applyFont="1" applyBorder="1"/>
    <xf numFmtId="0" fontId="11" fillId="0" borderId="13" xfId="285" applyFont="1" applyBorder="1" applyAlignment="1">
      <alignment horizontal="center" vertical="center" wrapText="1"/>
    </xf>
    <xf numFmtId="0" fontId="11" fillId="0" borderId="13" xfId="285" applyFont="1" applyBorder="1" applyAlignment="1" applyProtection="1">
      <alignment horizontal="center" vertical="center" wrapText="1"/>
      <protection locked="0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91" fillId="0" borderId="3" xfId="285" applyFont="1" applyFill="1" applyBorder="1" applyAlignment="1">
      <alignment horizontal="center" vertical="center" wrapText="1"/>
    </xf>
    <xf numFmtId="0" fontId="91" fillId="0" borderId="3" xfId="285" applyFont="1" applyFill="1" applyBorder="1" applyAlignment="1">
      <alignment vertical="center" wrapText="1"/>
    </xf>
    <xf numFmtId="0" fontId="115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91" fillId="0" borderId="3" xfId="285" applyFont="1" applyFill="1" applyBorder="1" applyAlignment="1" applyProtection="1">
      <alignment horizontal="center" vertical="center" wrapText="1"/>
      <protection locked="0"/>
    </xf>
    <xf numFmtId="2" fontId="9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91" fillId="0" borderId="3" xfId="285" applyFont="1" applyFill="1" applyBorder="1" applyAlignment="1" applyProtection="1">
      <alignment horizontal="right" vertical="center" wrapText="1"/>
      <protection locked="0"/>
    </xf>
    <xf numFmtId="1" fontId="11" fillId="31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31" borderId="3" xfId="285" applyFont="1" applyFill="1" applyBorder="1" applyAlignment="1" applyProtection="1">
      <alignment horizontal="right" vertical="center" wrapText="1"/>
      <protection locked="0"/>
    </xf>
    <xf numFmtId="0" fontId="91" fillId="0" borderId="0" xfId="285" applyFont="1" applyFill="1" applyBorder="1" applyAlignment="1">
      <alignment horizontal="left"/>
    </xf>
    <xf numFmtId="0" fontId="91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11" fillId="0" borderId="0" xfId="0" applyFont="1" applyFill="1" applyAlignment="1">
      <alignment horizontal="center" vertical="justify"/>
    </xf>
    <xf numFmtId="167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9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5" fontId="5" fillId="0" borderId="20" xfId="0" applyNumberFormat="1" applyFont="1" applyFill="1" applyBorder="1" applyAlignment="1">
      <alignment horizontal="center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5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5" fontId="5" fillId="0" borderId="13" xfId="0" applyNumberFormat="1" applyFont="1" applyFill="1" applyBorder="1" applyAlignment="1">
      <alignment horizontal="center" vertical="center" wrapText="1"/>
    </xf>
    <xf numFmtId="175" fontId="5" fillId="0" borderId="30" xfId="0" applyNumberFormat="1" applyFont="1" applyFill="1" applyBorder="1" applyAlignment="1">
      <alignment horizontal="center" vertical="center" wrapText="1"/>
    </xf>
    <xf numFmtId="175" fontId="110" fillId="0" borderId="20" xfId="0" applyNumberFormat="1" applyFont="1" applyFill="1" applyBorder="1" applyAlignment="1">
      <alignment horizontal="center" vertical="center" wrapText="1"/>
    </xf>
    <xf numFmtId="175" fontId="5" fillId="0" borderId="31" xfId="0" applyNumberFormat="1" applyFont="1" applyFill="1" applyBorder="1" applyAlignment="1">
      <alignment horizontal="center" vertical="center" wrapText="1"/>
    </xf>
    <xf numFmtId="175" fontId="5" fillId="0" borderId="34" xfId="0" applyNumberFormat="1" applyFont="1" applyFill="1" applyBorder="1" applyAlignment="1">
      <alignment horizontal="center" vertical="center" wrapText="1"/>
    </xf>
    <xf numFmtId="175" fontId="5" fillId="0" borderId="41" xfId="0" applyNumberFormat="1" applyFont="1" applyFill="1" applyBorder="1" applyAlignment="1">
      <alignment horizontal="center" vertical="center" wrapText="1"/>
    </xf>
    <xf numFmtId="175" fontId="5" fillId="0" borderId="42" xfId="0" applyNumberFormat="1" applyFont="1" applyFill="1" applyBorder="1" applyAlignment="1">
      <alignment horizontal="center" vertical="center" wrapText="1"/>
    </xf>
    <xf numFmtId="175" fontId="5" fillId="29" borderId="20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175" fontId="5" fillId="0" borderId="29" xfId="0" applyNumberFormat="1" applyFont="1" applyFill="1" applyBorder="1" applyAlignment="1">
      <alignment horizontal="center" vertical="center" wrapText="1"/>
    </xf>
    <xf numFmtId="175" fontId="5" fillId="0" borderId="27" xfId="0" applyNumberFormat="1" applyFont="1" applyFill="1" applyBorder="1" applyAlignment="1">
      <alignment horizontal="center" vertical="center" wrapText="1"/>
    </xf>
    <xf numFmtId="175" fontId="5" fillId="0" borderId="43" xfId="0" applyNumberFormat="1" applyFont="1" applyFill="1" applyBorder="1" applyAlignment="1">
      <alignment horizontal="center" vertical="center" wrapText="1"/>
    </xf>
    <xf numFmtId="175" fontId="5" fillId="0" borderId="44" xfId="0" applyNumberFormat="1" applyFont="1" applyFill="1" applyBorder="1" applyAlignment="1">
      <alignment horizontal="center" vertical="center" wrapText="1"/>
    </xf>
    <xf numFmtId="175" fontId="5" fillId="29" borderId="31" xfId="0" applyNumberFormat="1" applyFont="1" applyFill="1" applyBorder="1" applyAlignment="1">
      <alignment horizontal="center" vertical="center" wrapText="1"/>
    </xf>
    <xf numFmtId="175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3" xfId="292" applyNumberFormat="1" applyFont="1" applyFill="1" applyBorder="1" applyAlignment="1">
      <alignment horizontal="center" vertical="center" wrapText="1"/>
    </xf>
    <xf numFmtId="175" fontId="5" fillId="0" borderId="40" xfId="0" applyNumberFormat="1" applyFont="1" applyFill="1" applyBorder="1" applyAlignment="1">
      <alignment horizontal="center" vertical="center" wrapText="1"/>
    </xf>
    <xf numFmtId="175" fontId="110" fillId="0" borderId="3" xfId="0" applyNumberFormat="1" applyFont="1" applyFill="1" applyBorder="1" applyAlignment="1">
      <alignment horizontal="center" vertical="center" wrapText="1"/>
    </xf>
    <xf numFmtId="175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39" xfId="292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5" fontId="110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167" fontId="9" fillId="0" borderId="14" xfId="0" applyNumberFormat="1" applyFont="1" applyFill="1" applyBorder="1" applyAlignment="1">
      <alignment horizontal="center" vertical="center" wrapText="1"/>
    </xf>
    <xf numFmtId="167" fontId="9" fillId="0" borderId="15" xfId="0" applyNumberFormat="1" applyFont="1" applyFill="1" applyBorder="1" applyAlignment="1">
      <alignment horizontal="center" vertical="center" wrapText="1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175" fontId="9" fillId="0" borderId="14" xfId="0" applyNumberFormat="1" applyFont="1" applyFill="1" applyBorder="1" applyAlignment="1">
      <alignment horizontal="center" vertical="center" wrapText="1"/>
    </xf>
    <xf numFmtId="175" fontId="9" fillId="0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5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49" fontId="74" fillId="0" borderId="14" xfId="0" applyNumberFormat="1" applyFont="1" applyFill="1" applyBorder="1" applyAlignment="1">
      <alignment horizontal="left" vertical="center" wrapText="1"/>
    </xf>
    <xf numFmtId="49" fontId="74" fillId="0" borderId="16" xfId="0" applyNumberFormat="1" applyFont="1" applyFill="1" applyBorder="1" applyAlignment="1">
      <alignment horizontal="left" vertical="center" wrapText="1"/>
    </xf>
    <xf numFmtId="49" fontId="74" fillId="0" borderId="15" xfId="0" applyNumberFormat="1" applyFont="1" applyFill="1" applyBorder="1" applyAlignment="1">
      <alignment horizontal="left" vertical="center" wrapText="1"/>
    </xf>
    <xf numFmtId="175" fontId="5" fillId="31" borderId="14" xfId="0" applyNumberFormat="1" applyFont="1" applyFill="1" applyBorder="1" applyAlignment="1">
      <alignment horizontal="center" vertical="center" wrapText="1"/>
    </xf>
    <xf numFmtId="175" fontId="5" fillId="31" borderId="16" xfId="0" applyNumberFormat="1" applyFont="1" applyFill="1" applyBorder="1" applyAlignment="1">
      <alignment horizontal="center" vertical="center" wrapText="1"/>
    </xf>
    <xf numFmtId="175" fontId="5" fillId="31" borderId="15" xfId="0" applyNumberFormat="1" applyFont="1" applyFill="1" applyBorder="1" applyAlignment="1">
      <alignment horizontal="center" vertical="center" wrapText="1"/>
    </xf>
    <xf numFmtId="175" fontId="5" fillId="33" borderId="14" xfId="0" applyNumberFormat="1" applyFont="1" applyFill="1" applyBorder="1" applyAlignment="1">
      <alignment horizontal="center" vertical="center" wrapText="1"/>
    </xf>
    <xf numFmtId="175" fontId="5" fillId="33" borderId="16" xfId="0" applyNumberFormat="1" applyFont="1" applyFill="1" applyBorder="1" applyAlignment="1">
      <alignment horizontal="center" vertical="center" wrapText="1"/>
    </xf>
    <xf numFmtId="175" fontId="5" fillId="33" borderId="15" xfId="0" applyNumberFormat="1" applyFont="1" applyFill="1" applyBorder="1" applyAlignment="1">
      <alignment horizontal="center" vertical="center" wrapText="1"/>
    </xf>
    <xf numFmtId="175" fontId="5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75" fontId="5" fillId="31" borderId="3" xfId="0" applyNumberFormat="1" applyFont="1" applyFill="1" applyBorder="1" applyAlignment="1">
      <alignment horizontal="center" vertical="center" wrapText="1"/>
    </xf>
    <xf numFmtId="175" fontId="5" fillId="33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3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5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175" fontId="9" fillId="29" borderId="16" xfId="0" applyNumberFormat="1" applyFont="1" applyFill="1" applyBorder="1" applyAlignment="1">
      <alignment horizontal="center" vertical="center" wrapText="1"/>
    </xf>
    <xf numFmtId="174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 shrinkToFit="1"/>
    </xf>
    <xf numFmtId="0" fontId="9" fillId="0" borderId="3" xfId="0" applyNumberFormat="1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5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5" fillId="0" borderId="14" xfId="0" applyFont="1" applyFill="1" applyBorder="1" applyAlignment="1">
      <alignment horizontal="center" vertical="center" wrapText="1"/>
    </xf>
    <xf numFmtId="0" fontId="85" fillId="0" borderId="16" xfId="0" applyFont="1" applyFill="1" applyBorder="1" applyAlignment="1">
      <alignment horizontal="center" vertical="center" wrapText="1"/>
    </xf>
    <xf numFmtId="0" fontId="85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5" fillId="0" borderId="3" xfId="0" applyFont="1" applyFill="1" applyBorder="1" applyAlignment="1">
      <alignment horizontal="center" vertical="center" wrapText="1"/>
    </xf>
    <xf numFmtId="0" fontId="85" fillId="0" borderId="14" xfId="0" applyFont="1" applyFill="1" applyBorder="1" applyAlignment="1">
      <alignment horizontal="center" vertical="center" wrapText="1" shrinkToFit="1"/>
    </xf>
    <xf numFmtId="0" fontId="85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74" fillId="0" borderId="18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11" fillId="0" borderId="17" xfId="285" applyFont="1" applyBorder="1" applyAlignment="1">
      <alignment horizontal="left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vertical="center" wrapText="1"/>
    </xf>
    <xf numFmtId="0" fontId="115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11" fillId="0" borderId="13" xfId="285" applyFont="1" applyFill="1" applyBorder="1" applyAlignment="1">
      <alignment horizontal="center" vertical="center" wrapText="1"/>
    </xf>
    <xf numFmtId="0" fontId="11" fillId="0" borderId="37" xfId="285" applyFont="1" applyFill="1" applyBorder="1" applyAlignment="1">
      <alignment horizontal="center" vertical="center" wrapText="1"/>
    </xf>
    <xf numFmtId="0" fontId="12" fillId="0" borderId="16" xfId="285" applyFont="1" applyBorder="1" applyAlignment="1">
      <alignment horizontal="left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11" fillId="0" borderId="13" xfId="285" applyFont="1" applyBorder="1" applyAlignment="1" applyProtection="1">
      <alignment horizontal="center" vertical="center" wrapText="1"/>
      <protection locked="0"/>
    </xf>
    <xf numFmtId="0" fontId="116" fillId="0" borderId="0" xfId="285" applyFont="1" applyFill="1" applyBorder="1" applyAlignment="1">
      <alignment horizontal="left" vertical="center" wrapText="1"/>
    </xf>
    <xf numFmtId="0" fontId="116" fillId="0" borderId="0" xfId="285" applyFont="1" applyFill="1" applyBorder="1" applyAlignment="1">
      <alignment horizontal="center" vertical="top" wrapText="1"/>
    </xf>
    <xf numFmtId="0" fontId="82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 wrapText="1"/>
    </xf>
    <xf numFmtId="0" fontId="92" fillId="0" borderId="0" xfId="0" applyFont="1" applyAlignment="1">
      <alignment horizontal="center"/>
    </xf>
    <xf numFmtId="170" fontId="5" fillId="33" borderId="3" xfId="0" applyNumberFormat="1" applyFont="1" applyFill="1" applyBorder="1" applyAlignment="1">
      <alignment horizontal="center" vertical="center" wrapText="1"/>
    </xf>
    <xf numFmtId="175" fontId="4" fillId="29" borderId="3" xfId="0" applyNumberFormat="1" applyFont="1" applyFill="1" applyBorder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26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externalLink" Target="externalLinks/externalLink3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6;&#1077;&#1108;&#1089;&#1090;&#1088;%20&#1073;&#1086;&#1088;&#1078;&#1085;&#1080;&#1082;&#1110;&#1074;%20(&#1040;&#1074;&#1090;&#1086;&#1089;&#1086;&#1093;&#1088;&#1072;&#1085;&#1077;&#1085;&#1085;&#1099;&#1081;)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5;&#1080;&#1081;%20&#1089;&#1090;&#1086;&#1083;\&#1045;&#1050;&#1054;&#1053;&#1054;&#1052;&#1030;&#1057;&#1058;\&#1092;&#1110;&#1085;&#1087;&#1083;&#1072;&#1085;\&#1092;&#1110;&#1085;&#1087;&#1083;&#1072;&#1085;%202020\&#1092;&#1110;&#1085;&#1087;&#1083;&#1072;&#1085;%202019\&#1092;&#1072;&#1082;&#1090;%202019\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701">
          <cell r="B701" t="str">
            <v>Чередніченко Н.В.</v>
          </cell>
        </row>
        <row r="702">
          <cell r="B702" t="str">
            <v>Сілідуєв Ф.Д.</v>
          </cell>
        </row>
        <row r="703">
          <cell r="B703" t="str">
            <v>Шевченко І.Г.</v>
          </cell>
        </row>
        <row r="704">
          <cell r="B704" t="str">
            <v>Хоменко Галина  Михайлівна</v>
          </cell>
        </row>
        <row r="705">
          <cell r="B705" t="str">
            <v>Варченко Антоніна Анатоліївна</v>
          </cell>
        </row>
        <row r="706">
          <cell r="B706" t="str">
            <v>Бойко Дмитро Анатолійович</v>
          </cell>
        </row>
        <row r="707">
          <cell r="B707" t="str">
            <v>Гуторка Лариса Василівна</v>
          </cell>
        </row>
        <row r="708">
          <cell r="B708" t="str">
            <v>Чипурна Тамара Василівна</v>
          </cell>
        </row>
        <row r="709">
          <cell r="B709" t="str">
            <v>Осадча Ніна Євгеніївна</v>
          </cell>
        </row>
        <row r="710">
          <cell r="B710" t="str">
            <v>Погоріла Ангеліна Миколаївна</v>
          </cell>
        </row>
        <row r="711">
          <cell r="B711" t="str">
            <v>Каленюк Юлія Валерівна</v>
          </cell>
        </row>
        <row r="712">
          <cell r="B712" t="str">
            <v>Боярська Ірина Анатоліївна</v>
          </cell>
        </row>
        <row r="714">
          <cell r="B714" t="str">
            <v>Калініна Марина Вікторівна</v>
          </cell>
        </row>
        <row r="715">
          <cell r="B715" t="str">
            <v>Чернов Віталій Олександрович</v>
          </cell>
        </row>
        <row r="716">
          <cell r="B716" t="str">
            <v>Харкавенко Оксана Анатоліївна</v>
          </cell>
        </row>
        <row r="717">
          <cell r="B717" t="str">
            <v>Хобот Олександр Олександрович</v>
          </cell>
        </row>
        <row r="718">
          <cell r="B718" t="str">
            <v>Гологудіна Наталія Вікторівна</v>
          </cell>
        </row>
        <row r="719">
          <cell r="B719" t="str">
            <v>Степанова Ірина Олексіївна</v>
          </cell>
        </row>
        <row r="720">
          <cell r="B720" t="str">
            <v>Вусик Наталія Володимирівна</v>
          </cell>
        </row>
        <row r="722">
          <cell r="B722" t="str">
            <v>Бучек Світлана Федорівна</v>
          </cell>
        </row>
        <row r="723">
          <cell r="B723" t="str">
            <v>Євсєєва Любов Анатоліївна</v>
          </cell>
        </row>
        <row r="724">
          <cell r="B724" t="str">
            <v>Мережнюк Вадим Анатолійович</v>
          </cell>
        </row>
        <row r="725">
          <cell r="B725" t="str">
            <v>Сидоренко Олена Леонідівна</v>
          </cell>
        </row>
        <row r="726">
          <cell r="B726" t="str">
            <v>Черненко Олена Володимирівна</v>
          </cell>
        </row>
        <row r="727">
          <cell r="B727" t="str">
            <v>Гончарова Зоя Андріївна</v>
          </cell>
        </row>
        <row r="728">
          <cell r="B728" t="str">
            <v>Карпенко Наталія Сергіївна</v>
          </cell>
        </row>
        <row r="729">
          <cell r="B729" t="str">
            <v>Чумак Аліна Павлівна</v>
          </cell>
        </row>
        <row r="730">
          <cell r="B730" t="str">
            <v>Мельниченко Вячеслав Миколайович</v>
          </cell>
        </row>
        <row r="731">
          <cell r="B731" t="str">
            <v>Решетнік Валентина Миколаївна</v>
          </cell>
        </row>
        <row r="732">
          <cell r="B732" t="str">
            <v>Чернікова Людмила Яківна</v>
          </cell>
        </row>
        <row r="733">
          <cell r="B733" t="str">
            <v>Павлуша Тетяна Олександрівна</v>
          </cell>
        </row>
        <row r="734">
          <cell r="B734" t="str">
            <v>Потіха Микола Васильович</v>
          </cell>
        </row>
        <row r="735">
          <cell r="B735" t="str">
            <v>Темченко Валентина Мойсеївна</v>
          </cell>
        </row>
        <row r="736">
          <cell r="B736" t="str">
            <v>Сіракова Марина Олександрівна</v>
          </cell>
        </row>
        <row r="737">
          <cell r="B737" t="str">
            <v>Фастовець Василь Миколайович</v>
          </cell>
        </row>
        <row r="738">
          <cell r="B738" t="str">
            <v>Шабельна Ганна Федорівна</v>
          </cell>
        </row>
        <row r="739">
          <cell r="B739" t="str">
            <v>Оверченко Наталія Михайлівна</v>
          </cell>
        </row>
        <row r="740">
          <cell r="B740" t="str">
            <v>Шуляк Олена Іванівна</v>
          </cell>
        </row>
        <row r="741">
          <cell r="B741" t="str">
            <v>Попченко Світлана Миколаївна</v>
          </cell>
        </row>
        <row r="742">
          <cell r="B742" t="str">
            <v>Черепанова Людмила Василівна</v>
          </cell>
        </row>
        <row r="743">
          <cell r="B743" t="str">
            <v>Сівченко Віктор Миколайович</v>
          </cell>
        </row>
        <row r="744">
          <cell r="B744" t="str">
            <v>Петровська Наталія Олександрівна</v>
          </cell>
        </row>
        <row r="745">
          <cell r="B745" t="str">
            <v>Хамова Галина Вікторівна</v>
          </cell>
        </row>
      </sheetData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H58"/>
  <sheetViews>
    <sheetView topLeftCell="A10" zoomScale="73" zoomScaleNormal="73" zoomScaleSheetLayoutView="75" workbookViewId="0">
      <selection activeCell="C45" sqref="C45:E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504"/>
      <c r="B1" s="504"/>
      <c r="C1" s="2"/>
      <c r="D1" s="2"/>
      <c r="E1" s="2"/>
      <c r="F1" s="2"/>
      <c r="G1" s="2"/>
      <c r="H1" s="2"/>
    </row>
    <row r="2" spans="1:8" ht="30" customHeight="1">
      <c r="A2" s="505" t="s">
        <v>167</v>
      </c>
      <c r="B2" s="505"/>
      <c r="C2" s="505"/>
      <c r="D2" s="505"/>
      <c r="E2" s="505"/>
      <c r="F2" s="505"/>
      <c r="G2" s="505"/>
      <c r="H2" s="505"/>
    </row>
    <row r="3" spans="1:8" ht="24.75" customHeight="1">
      <c r="A3" s="505" t="s">
        <v>168</v>
      </c>
      <c r="B3" s="505"/>
      <c r="C3" s="505"/>
      <c r="D3" s="505"/>
      <c r="E3" s="505"/>
      <c r="F3" s="505"/>
      <c r="G3" s="505"/>
      <c r="H3" s="505"/>
    </row>
    <row r="4" spans="1:8" ht="18.75">
      <c r="A4" s="505" t="s">
        <v>724</v>
      </c>
      <c r="B4" s="505"/>
      <c r="C4" s="505"/>
      <c r="D4" s="505"/>
      <c r="E4" s="505"/>
      <c r="F4" s="505"/>
      <c r="G4" s="505"/>
      <c r="H4" s="505"/>
    </row>
    <row r="5" spans="1:8" ht="15">
      <c r="A5" s="506" t="s">
        <v>289</v>
      </c>
      <c r="B5" s="506"/>
      <c r="C5" s="506"/>
      <c r="D5" s="506"/>
      <c r="E5" s="506"/>
      <c r="F5" s="506"/>
      <c r="G5" s="506"/>
      <c r="H5" s="506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505" t="s">
        <v>145</v>
      </c>
      <c r="B7" s="505"/>
      <c r="C7" s="505"/>
      <c r="D7" s="505"/>
      <c r="E7" s="505"/>
      <c r="F7" s="505"/>
      <c r="G7" s="505"/>
      <c r="H7" s="505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507" t="s">
        <v>200</v>
      </c>
      <c r="B9" s="508" t="s">
        <v>12</v>
      </c>
      <c r="C9" s="510" t="s">
        <v>475</v>
      </c>
      <c r="D9" s="510"/>
      <c r="E9" s="509" t="s">
        <v>478</v>
      </c>
      <c r="F9" s="509"/>
      <c r="G9" s="509"/>
      <c r="H9" s="509"/>
    </row>
    <row r="10" spans="1:8" ht="75" customHeight="1">
      <c r="A10" s="507"/>
      <c r="B10" s="508"/>
      <c r="C10" s="245" t="s">
        <v>476</v>
      </c>
      <c r="D10" s="6" t="s">
        <v>477</v>
      </c>
      <c r="E10" s="47" t="s">
        <v>184</v>
      </c>
      <c r="F10" s="47" t="s">
        <v>174</v>
      </c>
      <c r="G10" s="47" t="s">
        <v>195</v>
      </c>
      <c r="H10" s="47" t="s">
        <v>196</v>
      </c>
    </row>
    <row r="11" spans="1:8" ht="14.25" customHeight="1">
      <c r="A11" s="91">
        <v>1</v>
      </c>
      <c r="B11" s="89">
        <v>2</v>
      </c>
      <c r="C11" s="91">
        <v>3</v>
      </c>
      <c r="D11" s="91">
        <v>4</v>
      </c>
      <c r="E11" s="91">
        <v>5</v>
      </c>
      <c r="F11" s="89">
        <v>6</v>
      </c>
      <c r="G11" s="91">
        <v>7</v>
      </c>
      <c r="H11" s="89">
        <v>8</v>
      </c>
    </row>
    <row r="12" spans="1:8" ht="34.5" customHeight="1">
      <c r="A12" s="501" t="s">
        <v>80</v>
      </c>
      <c r="B12" s="501"/>
      <c r="C12" s="501"/>
      <c r="D12" s="501"/>
      <c r="E12" s="501"/>
      <c r="F12" s="501"/>
      <c r="G12" s="501"/>
      <c r="H12" s="501"/>
    </row>
    <row r="13" spans="1:8" ht="46.5" customHeight="1">
      <c r="A13" s="59" t="s">
        <v>146</v>
      </c>
      <c r="B13" s="89">
        <f>'1. Фін результат'!B7</f>
        <v>1000</v>
      </c>
      <c r="C13" s="85">
        <f>'1. Фін результат'!C7</f>
        <v>48254</v>
      </c>
      <c r="D13" s="85">
        <f>'1. Фін результат'!D7</f>
        <v>49693</v>
      </c>
      <c r="E13" s="85">
        <f>'1. Фін результат'!E7</f>
        <v>11455</v>
      </c>
      <c r="F13" s="85">
        <f>'1. Фін результат'!F7</f>
        <v>12508</v>
      </c>
      <c r="G13" s="85">
        <f>F13-E13</f>
        <v>1053</v>
      </c>
      <c r="H13" s="86">
        <f>-F13/E13*100</f>
        <v>-109.19249236141424</v>
      </c>
    </row>
    <row r="14" spans="1:8" ht="40.5" customHeight="1">
      <c r="A14" s="59" t="s">
        <v>126</v>
      </c>
      <c r="B14" s="89">
        <f>'1. Фін результат'!B8</f>
        <v>1010</v>
      </c>
      <c r="C14" s="85">
        <f>'1. Фін результат'!C8</f>
        <v>-40652</v>
      </c>
      <c r="D14" s="85">
        <f>'1. Фін результат'!D8</f>
        <v>-41547</v>
      </c>
      <c r="E14" s="85">
        <f>'1. Фін результат'!E8</f>
        <v>-9784</v>
      </c>
      <c r="F14" s="85">
        <f>'1. Фін результат'!F8</f>
        <v>-11110</v>
      </c>
      <c r="G14" s="85">
        <f t="shared" ref="G14:G25" si="0">F14-E14</f>
        <v>-1326</v>
      </c>
      <c r="H14" s="86">
        <f t="shared" ref="H14:H25" si="1">-F14/E14*100</f>
        <v>-113.55273916598527</v>
      </c>
    </row>
    <row r="15" spans="1:8" ht="32.25" customHeight="1">
      <c r="A15" s="60" t="s">
        <v>185</v>
      </c>
      <c r="B15" s="89">
        <f>'1. Фін результат'!B17</f>
        <v>1020</v>
      </c>
      <c r="C15" s="202">
        <f>'1. Фін результат'!C17</f>
        <v>7602</v>
      </c>
      <c r="D15" s="202">
        <f>'1. Фін результат'!D17</f>
        <v>8146</v>
      </c>
      <c r="E15" s="202">
        <f>'1. Фін результат'!E17</f>
        <v>1671</v>
      </c>
      <c r="F15" s="202">
        <f>'1. Фін результат'!F17</f>
        <v>1398</v>
      </c>
      <c r="G15" s="202">
        <f t="shared" si="0"/>
        <v>-273</v>
      </c>
      <c r="H15" s="86">
        <f t="shared" si="1"/>
        <v>-83.662477558348286</v>
      </c>
    </row>
    <row r="16" spans="1:8" ht="27.75" customHeight="1">
      <c r="A16" s="59" t="s">
        <v>103</v>
      </c>
      <c r="B16" s="89">
        <f>'1. Фін результат'!B21</f>
        <v>1040</v>
      </c>
      <c r="C16" s="85">
        <f>'1. Фін результат'!C21</f>
        <v>-6349</v>
      </c>
      <c r="D16" s="85">
        <f>'1. Фін результат'!D21</f>
        <v>-7742</v>
      </c>
      <c r="E16" s="85">
        <f>'1. Фін результат'!E21</f>
        <v>-1668</v>
      </c>
      <c r="F16" s="85">
        <f>'1. Фін результат'!F21</f>
        <v>-2218</v>
      </c>
      <c r="G16" s="85">
        <f t="shared" si="0"/>
        <v>-550</v>
      </c>
      <c r="H16" s="86">
        <f t="shared" si="1"/>
        <v>-132.97362110311749</v>
      </c>
    </row>
    <row r="17" spans="1:8" ht="25.5" customHeight="1">
      <c r="A17" s="59" t="s">
        <v>100</v>
      </c>
      <c r="B17" s="89">
        <f>'1. Фін результат'!B44</f>
        <v>1070</v>
      </c>
      <c r="C17" s="85">
        <f>'1. Фін результат'!C44</f>
        <v>0</v>
      </c>
      <c r="D17" s="85">
        <f>'1. Фін результат'!D44</f>
        <v>0</v>
      </c>
      <c r="E17" s="85">
        <f>'1. Фін результат'!E44</f>
        <v>0</v>
      </c>
      <c r="F17" s="85">
        <f>'1. Фін результат'!F44</f>
        <v>0</v>
      </c>
      <c r="G17" s="85">
        <f t="shared" si="0"/>
        <v>0</v>
      </c>
      <c r="H17" s="86" t="e">
        <f t="shared" si="1"/>
        <v>#DIV/0!</v>
      </c>
    </row>
    <row r="18" spans="1:8" ht="26.25" customHeight="1">
      <c r="A18" s="59" t="s">
        <v>104</v>
      </c>
      <c r="B18" s="89">
        <f>'1. Фін результат'!B75</f>
        <v>1300</v>
      </c>
      <c r="C18" s="85">
        <f>'1. Фін результат'!C75</f>
        <v>-430</v>
      </c>
      <c r="D18" s="85">
        <f>'1. Фін результат'!D75</f>
        <v>79</v>
      </c>
      <c r="E18" s="85">
        <f>'1. Фін результат'!E75</f>
        <v>0</v>
      </c>
      <c r="F18" s="85">
        <f>'1. Фін результат'!F75</f>
        <v>121</v>
      </c>
      <c r="G18" s="85">
        <f t="shared" si="0"/>
        <v>121</v>
      </c>
      <c r="H18" s="86" t="e">
        <f t="shared" si="1"/>
        <v>#DIV/0!</v>
      </c>
    </row>
    <row r="19" spans="1:8" ht="47.25" customHeight="1">
      <c r="A19" s="9" t="s">
        <v>2</v>
      </c>
      <c r="B19" s="89">
        <f>'1. Фін результат'!B58</f>
        <v>1100</v>
      </c>
      <c r="C19" s="202">
        <f>'1. Фін результат'!C58</f>
        <v>823</v>
      </c>
      <c r="D19" s="202">
        <f>'1. Фін результат'!D58</f>
        <v>483</v>
      </c>
      <c r="E19" s="202">
        <f>'1. Фін результат'!E58</f>
        <v>3</v>
      </c>
      <c r="F19" s="202">
        <f>'1. Фін результат'!F58</f>
        <v>-699</v>
      </c>
      <c r="G19" s="202">
        <f t="shared" si="0"/>
        <v>-702</v>
      </c>
      <c r="H19" s="86">
        <f t="shared" si="1"/>
        <v>23300</v>
      </c>
    </row>
    <row r="20" spans="1:8" ht="43.5" customHeight="1">
      <c r="A20" s="62" t="s">
        <v>105</v>
      </c>
      <c r="B20" s="89">
        <f>'1. Фін результат'!B76</f>
        <v>1310</v>
      </c>
      <c r="C20" s="85">
        <f>'1. Фін результат'!C76</f>
        <v>0</v>
      </c>
      <c r="D20" s="85">
        <f>'1. Фін результат'!D76</f>
        <v>0</v>
      </c>
      <c r="E20" s="85">
        <f>'1. Фін результат'!E76</f>
        <v>0</v>
      </c>
      <c r="F20" s="85">
        <f>'1. Фін результат'!F76</f>
        <v>0</v>
      </c>
      <c r="G20" s="85">
        <f t="shared" si="0"/>
        <v>0</v>
      </c>
      <c r="H20" s="86" t="e">
        <f t="shared" si="1"/>
        <v>#DIV/0!</v>
      </c>
    </row>
    <row r="21" spans="1:8" ht="30.75" customHeight="1">
      <c r="A21" s="59" t="s">
        <v>163</v>
      </c>
      <c r="B21" s="89">
        <f>'1. Фін результат'!B77</f>
        <v>1320</v>
      </c>
      <c r="C21" s="85">
        <f>'1. Фін результат'!C77</f>
        <v>0</v>
      </c>
      <c r="D21" s="85">
        <f>'1. Фін результат'!D77</f>
        <v>0</v>
      </c>
      <c r="E21" s="85">
        <f>'1. Фін результат'!E77</f>
        <v>0</v>
      </c>
      <c r="F21" s="85">
        <f>'1. Фін результат'!F77</f>
        <v>0</v>
      </c>
      <c r="G21" s="85">
        <f t="shared" si="0"/>
        <v>0</v>
      </c>
      <c r="H21" s="86" t="e">
        <f t="shared" si="1"/>
        <v>#DIV/0!</v>
      </c>
    </row>
    <row r="22" spans="1:8" ht="29.25" customHeight="1">
      <c r="A22" s="61" t="s">
        <v>79</v>
      </c>
      <c r="B22" s="89">
        <f>'1. Фін результат'!B67</f>
        <v>1170</v>
      </c>
      <c r="C22" s="202">
        <f>'1. Фін результат'!C67</f>
        <v>823</v>
      </c>
      <c r="D22" s="202">
        <f>'1. Фін результат'!D67</f>
        <v>483</v>
      </c>
      <c r="E22" s="202">
        <f>'1. Фін результат'!E67</f>
        <v>3</v>
      </c>
      <c r="F22" s="202">
        <f>'1. Фін результат'!F67</f>
        <v>-699</v>
      </c>
      <c r="G22" s="202">
        <f t="shared" si="0"/>
        <v>-702</v>
      </c>
      <c r="H22" s="86">
        <f t="shared" si="1"/>
        <v>23300</v>
      </c>
    </row>
    <row r="23" spans="1:8" ht="31.5" customHeight="1">
      <c r="A23" s="7" t="s">
        <v>101</v>
      </c>
      <c r="B23" s="89">
        <f>'1. Фін результат'!B68</f>
        <v>1180</v>
      </c>
      <c r="C23" s="85">
        <f>'1. Фін результат'!C68</f>
        <v>-286</v>
      </c>
      <c r="D23" s="85">
        <f>'1. Фін результат'!D68</f>
        <v>-202</v>
      </c>
      <c r="E23" s="85">
        <f>'1. Фін результат'!E68</f>
        <v>-0.5</v>
      </c>
      <c r="F23" s="85">
        <f>'1. Фін результат'!F68</f>
        <v>107</v>
      </c>
      <c r="G23" s="85">
        <f t="shared" si="0"/>
        <v>107.5</v>
      </c>
      <c r="H23" s="86">
        <f t="shared" si="1"/>
        <v>21400</v>
      </c>
    </row>
    <row r="24" spans="1:8" ht="30.75" customHeight="1">
      <c r="A24" s="9" t="s">
        <v>160</v>
      </c>
      <c r="B24" s="89">
        <f>'1. Фін результат'!B70</f>
        <v>1200</v>
      </c>
      <c r="C24" s="202">
        <f>'1. Фін результат'!C70</f>
        <v>537</v>
      </c>
      <c r="D24" s="202">
        <f>'1. Фін результат'!D70</f>
        <v>281</v>
      </c>
      <c r="E24" s="202">
        <f>'1. Фін результат'!E70</f>
        <v>2.5</v>
      </c>
      <c r="F24" s="202">
        <f>'1. Фін результат'!F70</f>
        <v>-592</v>
      </c>
      <c r="G24" s="202">
        <f t="shared" si="0"/>
        <v>-594.5</v>
      </c>
      <c r="H24" s="86">
        <f t="shared" si="1"/>
        <v>23680</v>
      </c>
    </row>
    <row r="25" spans="1:8" ht="30.75" customHeight="1">
      <c r="A25" s="62" t="s">
        <v>161</v>
      </c>
      <c r="B25" s="89">
        <v>5010</v>
      </c>
      <c r="C25" s="85">
        <f>' V. Коефіцієнти'!D8</f>
        <v>1.112861109959796E-2</v>
      </c>
      <c r="D25" s="85">
        <f>' V. Коефіцієнти'!E8</f>
        <v>5.6547199806813841E-3</v>
      </c>
      <c r="E25" s="85">
        <f>' V. Коефіцієнти'!G8</f>
        <v>-4.7329708986248803E-2</v>
      </c>
      <c r="F25" s="85">
        <f>' V. Коефіцієнти'!H8</f>
        <v>-4.7547954293974688E-2</v>
      </c>
      <c r="G25" s="85">
        <f t="shared" si="0"/>
        <v>-2.182453077258853E-4</v>
      </c>
      <c r="H25" s="86">
        <f t="shared" si="1"/>
        <v>-100.4611169440938</v>
      </c>
    </row>
    <row r="26" spans="1:8" ht="0.75" hidden="1" customHeight="1">
      <c r="A26" s="74"/>
      <c r="B26" s="75"/>
      <c r="C26" s="76"/>
      <c r="D26" s="76"/>
      <c r="E26" s="76"/>
      <c r="F26" s="502" t="s">
        <v>169</v>
      </c>
      <c r="G26" s="502"/>
      <c r="H26" s="503"/>
    </row>
    <row r="27" spans="1:8" ht="30" customHeight="1">
      <c r="A27" s="496" t="s">
        <v>114</v>
      </c>
      <c r="B27" s="497"/>
      <c r="C27" s="497"/>
      <c r="D27" s="497"/>
      <c r="E27" s="497"/>
      <c r="F27" s="497"/>
      <c r="G27" s="497"/>
      <c r="H27" s="498"/>
    </row>
    <row r="28" spans="1:8" ht="39.75" customHeight="1">
      <c r="A28" s="62" t="s">
        <v>186</v>
      </c>
      <c r="B28" s="89">
        <f>'ІІ. Розр. з бюджетом'!B16</f>
        <v>2100</v>
      </c>
      <c r="C28" s="85">
        <f>'ІІ. Розр. з бюджетом'!C16</f>
        <v>114</v>
      </c>
      <c r="D28" s="85">
        <f>'ІІ. Розр. з бюджетом'!D16</f>
        <v>42</v>
      </c>
      <c r="E28" s="85">
        <f>'ІІ. Розр. з бюджетом'!E16</f>
        <v>6</v>
      </c>
      <c r="F28" s="85">
        <f>'ІІ. Розр. з бюджетом'!F16</f>
        <v>-89</v>
      </c>
      <c r="G28" s="85">
        <f t="shared" ref="G28:G33" si="2">F28-E28</f>
        <v>-95</v>
      </c>
      <c r="H28" s="86">
        <f t="shared" ref="H28:H33" si="3">F28/E28*100</f>
        <v>-1483.3333333333335</v>
      </c>
    </row>
    <row r="29" spans="1:8" ht="31.5" customHeight="1">
      <c r="A29" s="36" t="s">
        <v>113</v>
      </c>
      <c r="B29" s="89">
        <f>'ІІ. Розр. з бюджетом'!B17</f>
        <v>2110</v>
      </c>
      <c r="C29" s="85">
        <f>'ІІ. Розр. з бюджетом'!C17</f>
        <v>286</v>
      </c>
      <c r="D29" s="85">
        <f>'ІІ. Розр. з бюджетом'!D17</f>
        <v>202</v>
      </c>
      <c r="E29" s="85">
        <f>'ІІ. Розр. з бюджетом'!E17</f>
        <v>0.5</v>
      </c>
      <c r="F29" s="85">
        <f>'ІІ. Розр. з бюджетом'!F17</f>
        <v>-107</v>
      </c>
      <c r="G29" s="85">
        <f t="shared" si="2"/>
        <v>-107.5</v>
      </c>
      <c r="H29" s="86">
        <f t="shared" si="3"/>
        <v>-21400</v>
      </c>
    </row>
    <row r="30" spans="1:8" ht="46.5" customHeight="1">
      <c r="A30" s="36" t="s">
        <v>269</v>
      </c>
      <c r="B30" s="89" t="s">
        <v>225</v>
      </c>
      <c r="C30" s="85">
        <f>SUM('ІІ. Розр. з бюджетом'!C18,'ІІ. Розр. з бюджетом'!C19)</f>
        <v>6662</v>
      </c>
      <c r="D30" s="85">
        <f>SUM('ІІ. Розр. з бюджетом'!D18,'ІІ. Розр. з бюджетом'!D19)</f>
        <v>7733</v>
      </c>
      <c r="E30" s="85">
        <f>SUM('ІІ. Розр. з бюджетом'!E18,'ІІ. Розр. з бюджетом'!E19)</f>
        <v>1400</v>
      </c>
      <c r="F30" s="85">
        <f>SUM('ІІ. Розр. з бюджетом'!F18,'ІІ. Розр. з бюджетом'!F19)</f>
        <v>1894</v>
      </c>
      <c r="G30" s="85">
        <f t="shared" si="2"/>
        <v>494</v>
      </c>
      <c r="H30" s="86">
        <f t="shared" si="3"/>
        <v>135.28571428571428</v>
      </c>
    </row>
    <row r="31" spans="1:8" ht="53.25" customHeight="1">
      <c r="A31" s="62" t="s">
        <v>256</v>
      </c>
      <c r="B31" s="89">
        <f>'ІІ. Розр. з бюджетом'!B20</f>
        <v>2140</v>
      </c>
      <c r="C31" s="85">
        <f>'ІІ. Розр. з бюджетом'!C20</f>
        <v>4915</v>
      </c>
      <c r="D31" s="85">
        <f>'ІІ. Розр. з бюджетом'!D20</f>
        <v>5142</v>
      </c>
      <c r="E31" s="85">
        <f>'ІІ. Розр. з бюджетом'!E20</f>
        <v>1206</v>
      </c>
      <c r="F31" s="85">
        <f>'ІІ. Розр. з бюджетом'!F20</f>
        <v>1380</v>
      </c>
      <c r="G31" s="85">
        <f t="shared" si="2"/>
        <v>174</v>
      </c>
      <c r="H31" s="86">
        <f t="shared" si="3"/>
        <v>114.4278606965174</v>
      </c>
    </row>
    <row r="32" spans="1:8" ht="39" customHeight="1">
      <c r="A32" s="62" t="s">
        <v>71</v>
      </c>
      <c r="B32" s="89">
        <f>'ІІ. Розр. з бюджетом'!B30</f>
        <v>2150</v>
      </c>
      <c r="C32" s="85">
        <f>'ІІ. Розр. з бюджетом'!C30</f>
        <v>5542</v>
      </c>
      <c r="D32" s="85">
        <f>'ІІ. Розр. з бюджетом'!D30</f>
        <v>5662</v>
      </c>
      <c r="E32" s="85">
        <f>'ІІ. Розр. з бюджетом'!E30</f>
        <v>1342</v>
      </c>
      <c r="F32" s="85">
        <f>'ІІ. Розр. з бюджетом'!F30</f>
        <v>1520</v>
      </c>
      <c r="G32" s="85">
        <f t="shared" si="2"/>
        <v>178</v>
      </c>
      <c r="H32" s="86">
        <f t="shared" si="3"/>
        <v>113.26378539493294</v>
      </c>
    </row>
    <row r="33" spans="1:8" ht="30" customHeight="1">
      <c r="A33" s="61" t="s">
        <v>187</v>
      </c>
      <c r="B33" s="89">
        <f>'ІІ. Розр. з бюджетом'!B31</f>
        <v>2200</v>
      </c>
      <c r="C33" s="202">
        <f>'ІІ. Розр. з бюджетом'!C31</f>
        <v>17519</v>
      </c>
      <c r="D33" s="202">
        <f>'ІІ. Розр. з бюджетом'!D31</f>
        <v>18781</v>
      </c>
      <c r="E33" s="202">
        <f>'ІІ. Розр. з бюджетом'!E31</f>
        <v>3954.5</v>
      </c>
      <c r="F33" s="202">
        <f>'ІІ. Розр. з бюджетом'!F31</f>
        <v>4598</v>
      </c>
      <c r="G33" s="202">
        <f t="shared" si="2"/>
        <v>643.5</v>
      </c>
      <c r="H33" s="86">
        <f t="shared" si="3"/>
        <v>116.27260083449235</v>
      </c>
    </row>
    <row r="34" spans="1:8" ht="33" customHeight="1">
      <c r="A34" s="496" t="s">
        <v>112</v>
      </c>
      <c r="B34" s="497"/>
      <c r="C34" s="497"/>
      <c r="D34" s="497"/>
      <c r="E34" s="497"/>
      <c r="F34" s="497"/>
      <c r="G34" s="497"/>
      <c r="H34" s="498"/>
    </row>
    <row r="35" spans="1:8" ht="33.75" customHeight="1">
      <c r="A35" s="7" t="s">
        <v>106</v>
      </c>
      <c r="B35" s="91">
        <v>3600</v>
      </c>
      <c r="C35" s="85">
        <f>'ІІІ. Рух грош. коштів'!C70</f>
        <v>1938</v>
      </c>
      <c r="D35" s="85">
        <f>'ІІІ. Рух грош. коштів'!D70</f>
        <v>1055</v>
      </c>
      <c r="E35" s="85">
        <f>'ІІІ. Рух грош. коштів'!E70</f>
        <v>1775</v>
      </c>
      <c r="F35" s="85">
        <f>'ІІІ. Рух грош. коштів'!F70</f>
        <v>1853</v>
      </c>
      <c r="G35" s="85">
        <f>'[36]ІІІ. Рух грош. коштів'!F60</f>
        <v>0</v>
      </c>
      <c r="H35" s="86">
        <f>F35/E35*100</f>
        <v>104.3943661971831</v>
      </c>
    </row>
    <row r="36" spans="1:8" ht="27.75" customHeight="1">
      <c r="A36" s="7" t="s">
        <v>372</v>
      </c>
      <c r="B36" s="91">
        <v>3620</v>
      </c>
      <c r="C36" s="85">
        <f>'ІІІ. Рух грош. коштів'!C72</f>
        <v>1055</v>
      </c>
      <c r="D36" s="85">
        <f>'ІІІ. Рух грош. коштів'!D72</f>
        <v>1455</v>
      </c>
      <c r="E36" s="85">
        <f>'ІІІ. Рух грош. коштів'!E72</f>
        <v>1175</v>
      </c>
      <c r="F36" s="85">
        <f>'ІІІ. Рух грош. коштів'!F72</f>
        <v>1455</v>
      </c>
      <c r="G36" s="85">
        <f>'[36]ІІІ. Рух грош. коштів'!F62</f>
        <v>0</v>
      </c>
      <c r="H36" s="86">
        <f>F36/E36*100</f>
        <v>123.82978723404254</v>
      </c>
    </row>
    <row r="37" spans="1:8" ht="30.75" customHeight="1">
      <c r="A37" s="9" t="s">
        <v>28</v>
      </c>
      <c r="B37" s="91">
        <v>3630</v>
      </c>
      <c r="C37" s="202">
        <f>'ІІІ. Рух грош. коштів'!C73</f>
        <v>-401</v>
      </c>
      <c r="D37" s="202">
        <f>'ІІІ. Рух грош. коштів'!D73</f>
        <v>400</v>
      </c>
      <c r="E37" s="202">
        <f>'ІІІ. Рух грош. коштів'!E73</f>
        <v>-600</v>
      </c>
      <c r="F37" s="202">
        <f>'ІІІ. Рух грош. коштів'!F73</f>
        <v>602</v>
      </c>
      <c r="G37" s="202">
        <f>'[36]ІІІ. Рух грош. коштів'!F63</f>
        <v>0</v>
      </c>
      <c r="H37" s="86">
        <f>F37/E37*100</f>
        <v>-100.33333333333334</v>
      </c>
    </row>
    <row r="38" spans="1:8" ht="33" customHeight="1">
      <c r="A38" s="493" t="s">
        <v>151</v>
      </c>
      <c r="B38" s="494"/>
      <c r="C38" s="494"/>
      <c r="D38" s="494"/>
      <c r="E38" s="494"/>
      <c r="F38" s="494"/>
      <c r="G38" s="494"/>
      <c r="H38" s="494"/>
    </row>
    <row r="39" spans="1:8" ht="27.75" customHeight="1">
      <c r="A39" s="62" t="s">
        <v>150</v>
      </c>
      <c r="B39" s="91">
        <f>'IV. Кап. інвестиції'!B8</f>
        <v>4000</v>
      </c>
      <c r="C39" s="85">
        <f>'IV. Кап. інвестиції'!C8</f>
        <v>178</v>
      </c>
      <c r="D39" s="85">
        <f>'IV. Кап. інвестиції'!D8</f>
        <v>1254</v>
      </c>
      <c r="E39" s="85">
        <f>'IV. Кап. інвестиції'!E8</f>
        <v>50</v>
      </c>
      <c r="F39" s="85">
        <f>'IV. Кап. інвестиції'!F8</f>
        <v>148</v>
      </c>
      <c r="G39" s="85">
        <f>F39-E39</f>
        <v>98</v>
      </c>
      <c r="H39" s="86">
        <f>F39/E39*100</f>
        <v>296</v>
      </c>
    </row>
    <row r="40" spans="1:8" ht="27" customHeight="1">
      <c r="A40" s="495" t="s">
        <v>154</v>
      </c>
      <c r="B40" s="495"/>
      <c r="C40" s="495"/>
      <c r="D40" s="495"/>
      <c r="E40" s="495"/>
      <c r="F40" s="495"/>
      <c r="G40" s="495"/>
      <c r="H40" s="495"/>
    </row>
    <row r="41" spans="1:8" ht="26.25" customHeight="1">
      <c r="A41" s="62" t="s">
        <v>124</v>
      </c>
      <c r="B41" s="91">
        <v>5000</v>
      </c>
      <c r="C41" s="302">
        <f>' V. Коефіцієнти'!D7</f>
        <v>1.0032695002335357E-2</v>
      </c>
      <c r="D41" s="302">
        <f>' V. Коефіцієнти'!E7</f>
        <v>5.3860308211301083E-3</v>
      </c>
      <c r="E41" s="302" t="e">
        <f>' V. Коефіцієнти'!F7</f>
        <v>#DIV/0!</v>
      </c>
      <c r="F41" s="302">
        <f>' V. Коефіцієнти'!G7</f>
        <v>-1.1347082726366633E-2</v>
      </c>
      <c r="G41" s="85" t="e">
        <f>F41-E41</f>
        <v>#DIV/0!</v>
      </c>
      <c r="H41" s="86" t="e">
        <f>F41/E41*100</f>
        <v>#DIV/0!</v>
      </c>
    </row>
    <row r="42" spans="1:8" ht="25.5" customHeight="1">
      <c r="A42" s="62" t="s">
        <v>162</v>
      </c>
      <c r="B42" s="91">
        <v>5100</v>
      </c>
      <c r="C42" s="302">
        <f>' V. Коефіцієнти'!D10</f>
        <v>15.195158850226928</v>
      </c>
      <c r="D42" s="302">
        <f>' V. Коефіцієнти'!E10</f>
        <v>13.492232215862632</v>
      </c>
      <c r="E42" s="302">
        <f>' V. Коефіцієнти'!F10</f>
        <v>54.934090909090912</v>
      </c>
      <c r="F42" s="302">
        <f>' V. Коефіцієнти'!G10</f>
        <v>13.492232215862632</v>
      </c>
      <c r="G42" s="85">
        <f>F42-E42</f>
        <v>-41.441858693228284</v>
      </c>
      <c r="H42" s="86">
        <f>F42/E42*100</f>
        <v>24.56076362161085</v>
      </c>
    </row>
    <row r="43" spans="1:8" ht="26.25" customHeight="1">
      <c r="A43" s="203" t="s">
        <v>371</v>
      </c>
      <c r="B43" s="151">
        <v>5120</v>
      </c>
      <c r="C43" s="302">
        <f>' V. Коефіцієнти'!D12</f>
        <v>0.02</v>
      </c>
      <c r="D43" s="302">
        <f>' V. Коефіцієнти'!E12</f>
        <v>0.03</v>
      </c>
      <c r="E43" s="302">
        <f>' V. Коефіцієнти'!F12</f>
        <v>0</v>
      </c>
      <c r="F43" s="302">
        <f>' V. Коефіцієнти'!G12</f>
        <v>0.03</v>
      </c>
      <c r="G43" s="85">
        <f>F43-E43</f>
        <v>0.03</v>
      </c>
      <c r="H43" s="86" t="e">
        <f>F43/E43*100</f>
        <v>#DIV/0!</v>
      </c>
    </row>
    <row r="44" spans="1:8" ht="31.5" customHeight="1">
      <c r="A44" s="496" t="s">
        <v>153</v>
      </c>
      <c r="B44" s="497"/>
      <c r="C44" s="497"/>
      <c r="D44" s="497"/>
      <c r="E44" s="497"/>
      <c r="F44" s="497"/>
      <c r="G44" s="497"/>
      <c r="H44" s="498"/>
    </row>
    <row r="45" spans="1:8" ht="31.5" customHeight="1">
      <c r="A45" s="62" t="s">
        <v>107</v>
      </c>
      <c r="B45" s="91">
        <v>6000</v>
      </c>
      <c r="C45" s="82">
        <v>44945</v>
      </c>
      <c r="D45" s="82">
        <v>43389</v>
      </c>
      <c r="E45" s="82">
        <v>42975</v>
      </c>
      <c r="F45" s="82">
        <v>43389</v>
      </c>
      <c r="G45" s="85">
        <f t="shared" ref="G45:G54" si="4">F45-E45</f>
        <v>414</v>
      </c>
      <c r="H45" s="86">
        <f>F45/E45*100</f>
        <v>100.96335078534031</v>
      </c>
    </row>
    <row r="46" spans="1:8" ht="26.25" customHeight="1">
      <c r="A46" s="62" t="s">
        <v>108</v>
      </c>
      <c r="B46" s="91">
        <v>6010</v>
      </c>
      <c r="C46" s="82">
        <v>8580</v>
      </c>
      <c r="D46" s="82">
        <v>9783</v>
      </c>
      <c r="E46" s="82">
        <v>9900</v>
      </c>
      <c r="F46" s="82">
        <v>9783</v>
      </c>
      <c r="G46" s="85">
        <f t="shared" si="4"/>
        <v>-117</v>
      </c>
      <c r="H46" s="86">
        <f t="shared" ref="H46:H54" si="5">F46/E46*100</f>
        <v>98.818181818181813</v>
      </c>
    </row>
    <row r="47" spans="1:8" ht="20.25" customHeight="1">
      <c r="A47" s="92" t="s">
        <v>190</v>
      </c>
      <c r="B47" s="91">
        <v>6020</v>
      </c>
      <c r="C47" s="103">
        <v>1055</v>
      </c>
      <c r="D47" s="103">
        <v>1455</v>
      </c>
      <c r="E47" s="103"/>
      <c r="F47" s="82">
        <v>1455</v>
      </c>
      <c r="G47" s="104">
        <f t="shared" si="4"/>
        <v>1455</v>
      </c>
      <c r="H47" s="86" t="e">
        <f t="shared" si="5"/>
        <v>#DIV/0!</v>
      </c>
    </row>
    <row r="48" spans="1:8" ht="27.75" customHeight="1">
      <c r="A48" s="61" t="s">
        <v>188</v>
      </c>
      <c r="B48" s="91">
        <v>6030</v>
      </c>
      <c r="C48" s="204">
        <f>C45+C46</f>
        <v>53525</v>
      </c>
      <c r="D48" s="204">
        <v>52172</v>
      </c>
      <c r="E48" s="204"/>
      <c r="F48" s="82">
        <v>52172</v>
      </c>
      <c r="G48" s="202">
        <f t="shared" si="4"/>
        <v>52172</v>
      </c>
      <c r="H48" s="86" t="e">
        <f t="shared" si="5"/>
        <v>#DIV/0!</v>
      </c>
    </row>
    <row r="49" spans="1:8" ht="24.75" customHeight="1">
      <c r="A49" s="62" t="s">
        <v>122</v>
      </c>
      <c r="B49" s="91">
        <v>6040</v>
      </c>
      <c r="C49" s="82">
        <v>821</v>
      </c>
      <c r="D49" s="82">
        <v>910</v>
      </c>
      <c r="E49" s="82">
        <v>880</v>
      </c>
      <c r="F49" s="82">
        <f t="shared" ref="F49:F54" si="6">D49</f>
        <v>910</v>
      </c>
      <c r="G49" s="85">
        <f t="shared" si="4"/>
        <v>30</v>
      </c>
      <c r="H49" s="86">
        <f t="shared" si="5"/>
        <v>103.40909090909092</v>
      </c>
    </row>
    <row r="50" spans="1:8" ht="28.5" customHeight="1">
      <c r="A50" s="62" t="s">
        <v>123</v>
      </c>
      <c r="B50" s="91">
        <v>6050</v>
      </c>
      <c r="C50" s="82">
        <v>2484</v>
      </c>
      <c r="D50" s="82">
        <v>2759</v>
      </c>
      <c r="E50" s="82"/>
      <c r="F50" s="82">
        <v>2759</v>
      </c>
      <c r="G50" s="85">
        <f t="shared" si="4"/>
        <v>2759</v>
      </c>
      <c r="H50" s="86" t="e">
        <f t="shared" si="5"/>
        <v>#DIV/0!</v>
      </c>
    </row>
    <row r="51" spans="1:8" ht="29.25" customHeight="1">
      <c r="A51" s="61" t="s">
        <v>189</v>
      </c>
      <c r="B51" s="91">
        <v>6060</v>
      </c>
      <c r="C51" s="202">
        <f>SUM(C49:C50)</f>
        <v>3305</v>
      </c>
      <c r="D51" s="202">
        <f>SUM(D49:D50)</f>
        <v>3669</v>
      </c>
      <c r="E51" s="202">
        <v>880</v>
      </c>
      <c r="F51" s="82">
        <f t="shared" si="6"/>
        <v>3669</v>
      </c>
      <c r="G51" s="202">
        <f t="shared" si="4"/>
        <v>2789</v>
      </c>
      <c r="H51" s="86">
        <f t="shared" si="5"/>
        <v>416.93181818181813</v>
      </c>
    </row>
    <row r="52" spans="1:8" ht="27" customHeight="1">
      <c r="A52" s="62" t="s">
        <v>191</v>
      </c>
      <c r="B52" s="91">
        <v>6070</v>
      </c>
      <c r="C52" s="82"/>
      <c r="D52" s="82" t="s">
        <v>715</v>
      </c>
      <c r="E52" s="82"/>
      <c r="F52" s="82" t="str">
        <f t="shared" si="6"/>
        <v/>
      </c>
      <c r="G52" s="85" t="e">
        <f t="shared" si="4"/>
        <v>#VALUE!</v>
      </c>
      <c r="H52" s="86" t="e">
        <f t="shared" si="5"/>
        <v>#VALUE!</v>
      </c>
    </row>
    <row r="53" spans="1:8" ht="24.75" customHeight="1">
      <c r="A53" s="62" t="s">
        <v>192</v>
      </c>
      <c r="B53" s="91">
        <v>6080</v>
      </c>
      <c r="C53" s="82"/>
      <c r="D53" s="82"/>
      <c r="E53" s="82"/>
      <c r="F53" s="82">
        <f t="shared" si="6"/>
        <v>0</v>
      </c>
      <c r="G53" s="85">
        <f t="shared" si="4"/>
        <v>0</v>
      </c>
      <c r="H53" s="86" t="e">
        <f t="shared" si="5"/>
        <v>#DIV/0!</v>
      </c>
    </row>
    <row r="54" spans="1:8" ht="32.25" customHeight="1">
      <c r="A54" s="61" t="s">
        <v>109</v>
      </c>
      <c r="B54" s="151">
        <v>6090</v>
      </c>
      <c r="C54" s="204">
        <v>50220</v>
      </c>
      <c r="D54" s="204">
        <v>49503</v>
      </c>
      <c r="E54" s="204">
        <v>48342</v>
      </c>
      <c r="F54" s="82">
        <f t="shared" si="6"/>
        <v>49503</v>
      </c>
      <c r="G54" s="202">
        <f t="shared" si="4"/>
        <v>1161</v>
      </c>
      <c r="H54" s="86">
        <f t="shared" si="5"/>
        <v>102.40163832692069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3" t="s">
        <v>963</v>
      </c>
      <c r="B56" s="492" t="s">
        <v>290</v>
      </c>
      <c r="C56" s="492"/>
      <c r="D56" s="372"/>
      <c r="E56" s="95"/>
      <c r="F56" s="499" t="s">
        <v>959</v>
      </c>
      <c r="G56" s="499"/>
      <c r="H56" s="499"/>
    </row>
    <row r="57" spans="1:8" ht="15" customHeight="1">
      <c r="A57" s="111" t="s">
        <v>233</v>
      </c>
      <c r="B57" s="500" t="s">
        <v>232</v>
      </c>
      <c r="C57" s="500"/>
      <c r="D57" s="373"/>
      <c r="E57" s="112"/>
      <c r="F57" s="491" t="s">
        <v>84</v>
      </c>
      <c r="G57" s="491"/>
      <c r="H57" s="491"/>
    </row>
    <row r="58" spans="1:8" ht="15">
      <c r="A58" s="374" t="s">
        <v>979</v>
      </c>
      <c r="B58" s="375"/>
      <c r="C58" s="375"/>
      <c r="D58" s="375"/>
      <c r="E58" s="375"/>
      <c r="F58" s="375"/>
      <c r="G58" s="375"/>
      <c r="H58" s="254"/>
    </row>
  </sheetData>
  <mergeCells count="21"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  <mergeCell ref="B57:C57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H21"/>
  <sheetViews>
    <sheetView workbookViewId="0">
      <selection activeCell="A20" sqref="A20:C20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30"/>
      <c r="B1" s="230"/>
      <c r="C1" s="230"/>
      <c r="D1" s="230"/>
      <c r="E1" s="230"/>
      <c r="F1" s="768" t="s">
        <v>362</v>
      </c>
      <c r="G1" s="768"/>
      <c r="H1" s="768"/>
    </row>
    <row r="2" spans="1:8" ht="48" customHeight="1">
      <c r="A2" s="769" t="s">
        <v>720</v>
      </c>
      <c r="B2" s="769"/>
      <c r="C2" s="769"/>
      <c r="D2" s="769"/>
      <c r="E2" s="769"/>
      <c r="F2" s="769"/>
      <c r="G2" s="769"/>
      <c r="H2" s="769"/>
    </row>
    <row r="3" spans="1:8" ht="23.25" customHeight="1">
      <c r="A3" s="230"/>
      <c r="B3" s="230"/>
      <c r="C3" s="230"/>
      <c r="D3" s="230"/>
      <c r="E3" s="230"/>
      <c r="F3" s="230"/>
      <c r="G3" s="230"/>
      <c r="H3" s="230" t="s">
        <v>294</v>
      </c>
    </row>
    <row r="4" spans="1:8" ht="18.75">
      <c r="A4" s="770" t="s">
        <v>295</v>
      </c>
      <c r="B4" s="772" t="s">
        <v>296</v>
      </c>
      <c r="C4" s="772"/>
      <c r="D4" s="772"/>
      <c r="E4" s="772"/>
      <c r="F4" s="772"/>
      <c r="G4" s="772"/>
      <c r="H4" s="772"/>
    </row>
    <row r="5" spans="1:8" ht="44.25" customHeight="1">
      <c r="A5" s="771"/>
      <c r="B5" s="231">
        <v>2013</v>
      </c>
      <c r="C5" s="231">
        <v>2015</v>
      </c>
      <c r="D5" s="231">
        <v>2016</v>
      </c>
      <c r="E5" s="231">
        <v>2017</v>
      </c>
      <c r="F5" s="231">
        <v>2018</v>
      </c>
      <c r="G5" s="231">
        <v>2019</v>
      </c>
      <c r="H5" s="231" t="s">
        <v>302</v>
      </c>
    </row>
    <row r="6" spans="1:8" ht="24" customHeight="1">
      <c r="A6" s="232" t="s">
        <v>297</v>
      </c>
      <c r="B6" s="241">
        <v>58496</v>
      </c>
      <c r="C6" s="241">
        <v>69449.600000000006</v>
      </c>
      <c r="D6" s="241">
        <v>68809</v>
      </c>
      <c r="E6" s="241">
        <v>36960.800000000003</v>
      </c>
      <c r="F6" s="241">
        <v>48942</v>
      </c>
      <c r="G6" s="241">
        <v>48410</v>
      </c>
      <c r="H6" s="241">
        <v>45820</v>
      </c>
    </row>
    <row r="7" spans="1:8" ht="27" customHeight="1">
      <c r="A7" s="232" t="s">
        <v>201</v>
      </c>
      <c r="B7" s="241">
        <v>58427.8</v>
      </c>
      <c r="C7" s="241">
        <v>69409.899999999994</v>
      </c>
      <c r="D7" s="241">
        <v>68546</v>
      </c>
      <c r="E7" s="241">
        <v>37164.9</v>
      </c>
      <c r="F7" s="241">
        <v>46591</v>
      </c>
      <c r="G7" s="241">
        <v>47873</v>
      </c>
      <c r="H7" s="241">
        <v>45810</v>
      </c>
    </row>
    <row r="8" spans="1:8" ht="29.25" customHeight="1">
      <c r="A8" s="232" t="s">
        <v>298</v>
      </c>
      <c r="B8" s="241">
        <f t="shared" ref="B8" si="0">B6-B7</f>
        <v>68.19999999999709</v>
      </c>
      <c r="C8" s="241">
        <f t="shared" ref="C8:E8" si="1">C6-C7</f>
        <v>39.700000000011642</v>
      </c>
      <c r="D8" s="241">
        <f t="shared" si="1"/>
        <v>263</v>
      </c>
      <c r="E8" s="241">
        <f t="shared" si="1"/>
        <v>-204.09999999999854</v>
      </c>
      <c r="F8" s="241">
        <v>1531</v>
      </c>
      <c r="G8" s="241">
        <v>537</v>
      </c>
      <c r="H8" s="241">
        <v>10</v>
      </c>
    </row>
    <row r="9" spans="1:8" ht="32.25" customHeight="1">
      <c r="A9" s="232" t="s">
        <v>299</v>
      </c>
      <c r="B9" s="241"/>
      <c r="C9" s="241"/>
      <c r="D9" s="241"/>
      <c r="E9" s="241"/>
      <c r="F9" s="241"/>
      <c r="G9" s="241"/>
      <c r="H9" s="241"/>
    </row>
    <row r="10" spans="1:8" ht="47.25" customHeight="1">
      <c r="A10" s="232" t="s">
        <v>300</v>
      </c>
      <c r="B10" s="241"/>
      <c r="C10" s="241">
        <f>B10+C8-C9</f>
        <v>39.700000000011642</v>
      </c>
      <c r="D10" s="241">
        <f>C10+D8-D9</f>
        <v>302.70000000001164</v>
      </c>
      <c r="E10" s="241">
        <f>D10+E8-E9</f>
        <v>98.600000000013097</v>
      </c>
      <c r="F10" s="241">
        <v>403</v>
      </c>
      <c r="G10" s="241">
        <f>F10+G8-G9</f>
        <v>940</v>
      </c>
      <c r="H10" s="241">
        <f>G10+H8-H9</f>
        <v>950</v>
      </c>
    </row>
    <row r="11" spans="1:8" ht="46.5" customHeight="1">
      <c r="A11" s="232" t="s">
        <v>333</v>
      </c>
      <c r="B11" s="241">
        <v>5945.2</v>
      </c>
      <c r="C11" s="241">
        <v>6591.1</v>
      </c>
      <c r="D11" s="241">
        <v>2401</v>
      </c>
      <c r="E11" s="241">
        <v>3198</v>
      </c>
      <c r="F11" s="241">
        <v>4071</v>
      </c>
      <c r="G11" s="241">
        <v>4071</v>
      </c>
      <c r="H11" s="241"/>
    </row>
    <row r="12" spans="1:8" ht="43.5" customHeight="1">
      <c r="A12" s="232" t="s">
        <v>334</v>
      </c>
      <c r="B12" s="241">
        <v>1242.8</v>
      </c>
      <c r="C12" s="241">
        <v>982</v>
      </c>
      <c r="D12" s="241">
        <v>552</v>
      </c>
      <c r="E12" s="241">
        <v>1135</v>
      </c>
      <c r="F12" s="241">
        <v>503</v>
      </c>
      <c r="G12" s="241">
        <v>503</v>
      </c>
      <c r="H12" s="241"/>
    </row>
    <row r="13" spans="1:8" ht="41.25" customHeight="1">
      <c r="A13" s="233" t="s">
        <v>335</v>
      </c>
      <c r="B13" s="241">
        <v>88</v>
      </c>
      <c r="C13" s="241">
        <v>109</v>
      </c>
      <c r="D13" s="241">
        <v>282</v>
      </c>
      <c r="E13" s="241">
        <v>252</v>
      </c>
      <c r="F13" s="241">
        <v>242</v>
      </c>
      <c r="G13" s="241">
        <v>237</v>
      </c>
      <c r="H13" s="241">
        <v>270</v>
      </c>
    </row>
    <row r="14" spans="1:8" ht="33.75" customHeight="1">
      <c r="A14" s="234" t="s">
        <v>463</v>
      </c>
      <c r="B14" s="264">
        <v>85</v>
      </c>
      <c r="C14" s="264">
        <v>108</v>
      </c>
      <c r="D14" s="264">
        <v>278</v>
      </c>
      <c r="E14" s="264">
        <v>250</v>
      </c>
      <c r="F14" s="264">
        <v>240</v>
      </c>
      <c r="G14" s="264">
        <v>236</v>
      </c>
      <c r="H14" s="264">
        <v>270</v>
      </c>
    </row>
    <row r="15" spans="1:8" ht="51" customHeight="1">
      <c r="A15" s="233" t="s">
        <v>336</v>
      </c>
      <c r="B15" s="264">
        <v>157</v>
      </c>
      <c r="C15" s="264">
        <v>147</v>
      </c>
      <c r="D15" s="264">
        <v>332</v>
      </c>
      <c r="E15" s="264">
        <v>332</v>
      </c>
      <c r="F15" s="264">
        <v>330</v>
      </c>
      <c r="G15" s="310">
        <v>330</v>
      </c>
      <c r="H15" s="310">
        <v>276</v>
      </c>
    </row>
    <row r="16" spans="1:8" ht="35.25" customHeight="1">
      <c r="A16" s="773" t="s">
        <v>301</v>
      </c>
      <c r="B16" s="773"/>
      <c r="C16" s="773"/>
      <c r="D16" s="773"/>
      <c r="E16" s="773"/>
      <c r="F16" s="773"/>
      <c r="G16" s="773"/>
      <c r="H16" s="773"/>
    </row>
    <row r="18" spans="1:8" ht="18.75">
      <c r="A18" s="93" t="s">
        <v>963</v>
      </c>
      <c r="B18" s="492" t="s">
        <v>290</v>
      </c>
      <c r="C18" s="492"/>
      <c r="D18" s="372"/>
      <c r="E18" s="95"/>
      <c r="F18" s="499" t="s">
        <v>959</v>
      </c>
      <c r="G18" s="499"/>
      <c r="H18" s="499"/>
    </row>
    <row r="19" spans="1:8">
      <c r="A19" s="111" t="s">
        <v>233</v>
      </c>
      <c r="B19" s="500" t="s">
        <v>232</v>
      </c>
      <c r="C19" s="500"/>
      <c r="D19" s="373"/>
      <c r="E19" s="112"/>
      <c r="F19" s="491" t="s">
        <v>84</v>
      </c>
      <c r="G19" s="491"/>
      <c r="H19" s="491"/>
    </row>
    <row r="20" spans="1:8" ht="30" customHeight="1">
      <c r="A20" s="552" t="s">
        <v>549</v>
      </c>
      <c r="B20" s="552"/>
      <c r="C20" s="552"/>
      <c r="D20" s="375"/>
      <c r="E20" s="375"/>
      <c r="F20" s="375"/>
      <c r="G20" s="375"/>
      <c r="H20" s="254"/>
    </row>
    <row r="21" spans="1:8">
      <c r="A21" s="240"/>
    </row>
  </sheetData>
  <mergeCells count="10">
    <mergeCell ref="F1:H1"/>
    <mergeCell ref="A2:H2"/>
    <mergeCell ref="A4:A5"/>
    <mergeCell ref="B4:H4"/>
    <mergeCell ref="A20:C20"/>
    <mergeCell ref="B18:C18"/>
    <mergeCell ref="F18:H18"/>
    <mergeCell ref="B19:C19"/>
    <mergeCell ref="F19:H19"/>
    <mergeCell ref="A16:H16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P238"/>
  <sheetViews>
    <sheetView topLeftCell="A202" zoomScale="80" zoomScaleNormal="80" workbookViewId="0">
      <selection activeCell="A225" sqref="A225:O234"/>
    </sheetView>
  </sheetViews>
  <sheetFormatPr defaultRowHeight="12.75"/>
  <cols>
    <col min="1" max="1" width="6.140625" customWidth="1"/>
    <col min="2" max="2" width="29.28515625" customWidth="1"/>
    <col min="3" max="3" width="18.140625" customWidth="1"/>
    <col min="4" max="4" width="19.5703125" customWidth="1"/>
    <col min="5" max="5" width="6.85546875" customWidth="1"/>
    <col min="6" max="6" width="7.42578125" customWidth="1"/>
    <col min="7" max="7" width="6" customWidth="1"/>
    <col min="8" max="8" width="6.42578125" customWidth="1"/>
    <col min="9" max="9" width="5.42578125" customWidth="1"/>
    <col min="10" max="10" width="6" customWidth="1"/>
    <col min="13" max="13" width="18.7109375" customWidth="1"/>
    <col min="14" max="14" width="11.5703125" customWidth="1"/>
    <col min="15" max="15" width="11.7109375" customWidth="1"/>
  </cols>
  <sheetData>
    <row r="1" spans="1:15" ht="29.25" customHeight="1">
      <c r="A1" s="411"/>
      <c r="B1" s="412"/>
      <c r="C1" s="412"/>
      <c r="D1" s="412"/>
      <c r="E1" s="413"/>
      <c r="F1" s="413"/>
      <c r="G1" s="413"/>
      <c r="H1" s="413"/>
      <c r="I1" s="782" t="s">
        <v>367</v>
      </c>
      <c r="J1" s="782"/>
      <c r="K1" s="782"/>
      <c r="L1" s="782"/>
      <c r="M1" s="782"/>
      <c r="N1" s="240"/>
      <c r="O1" s="240"/>
    </row>
    <row r="2" spans="1:15" ht="23.25" customHeight="1">
      <c r="A2" s="783" t="s">
        <v>490</v>
      </c>
      <c r="B2" s="783"/>
      <c r="C2" s="783"/>
      <c r="D2" s="783"/>
      <c r="E2" s="783"/>
      <c r="F2" s="783"/>
      <c r="G2" s="783"/>
      <c r="H2" s="783"/>
      <c r="I2" s="783"/>
      <c r="J2" s="783"/>
      <c r="K2" s="783"/>
      <c r="L2" s="783"/>
      <c r="M2" s="783"/>
      <c r="N2" s="240"/>
      <c r="O2" s="240"/>
    </row>
    <row r="3" spans="1:15" ht="23.25" customHeight="1">
      <c r="A3" s="411"/>
      <c r="B3" s="784" t="s">
        <v>960</v>
      </c>
      <c r="C3" s="784"/>
      <c r="D3" s="784"/>
      <c r="E3" s="784"/>
      <c r="F3" s="784"/>
      <c r="G3" s="784"/>
      <c r="H3" s="784"/>
      <c r="I3" s="784"/>
      <c r="J3" s="784"/>
      <c r="K3" s="784"/>
      <c r="L3" s="784"/>
      <c r="M3" s="411"/>
      <c r="N3" s="240"/>
      <c r="O3" s="240"/>
    </row>
    <row r="4" spans="1:15" ht="22.5" customHeight="1">
      <c r="A4" s="411"/>
      <c r="B4" s="778" t="s">
        <v>961</v>
      </c>
      <c r="C4" s="778"/>
      <c r="D4" s="778"/>
      <c r="E4" s="778"/>
      <c r="F4" s="778"/>
      <c r="G4" s="778"/>
      <c r="H4" s="778"/>
      <c r="I4" s="414"/>
      <c r="J4" s="414"/>
      <c r="K4" s="414"/>
      <c r="L4" s="414"/>
      <c r="M4" s="411"/>
      <c r="N4" s="240"/>
      <c r="O4" s="240"/>
    </row>
    <row r="5" spans="1:15" ht="15.75">
      <c r="A5" s="411"/>
      <c r="B5" s="778" t="s">
        <v>962</v>
      </c>
      <c r="C5" s="778"/>
      <c r="D5" s="778"/>
      <c r="E5" s="778"/>
      <c r="F5" s="778"/>
      <c r="G5" s="778"/>
      <c r="H5" s="778"/>
      <c r="I5" s="414"/>
      <c r="J5" s="414"/>
      <c r="K5" s="414"/>
      <c r="L5" s="414"/>
      <c r="M5" s="411"/>
      <c r="N5" s="240"/>
      <c r="O5" s="240"/>
    </row>
    <row r="6" spans="1:15" ht="6.75" customHeight="1">
      <c r="A6" s="411"/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1"/>
      <c r="N6" s="240"/>
      <c r="O6" s="240"/>
    </row>
    <row r="7" spans="1:15" ht="12.75" customHeight="1">
      <c r="A7" s="779" t="s">
        <v>312</v>
      </c>
      <c r="B7" s="779"/>
      <c r="C7" s="779"/>
      <c r="D7" s="779"/>
      <c r="E7" s="415"/>
      <c r="F7" s="415"/>
      <c r="G7" s="415"/>
      <c r="H7" s="415"/>
      <c r="I7" s="415"/>
      <c r="J7" s="415"/>
      <c r="K7" s="415"/>
      <c r="L7" s="416"/>
      <c r="M7" s="416"/>
      <c r="N7" s="240"/>
      <c r="O7" s="416" t="s">
        <v>294</v>
      </c>
    </row>
    <row r="8" spans="1:15" ht="15" customHeight="1">
      <c r="A8" s="780" t="s">
        <v>313</v>
      </c>
      <c r="B8" s="781" t="s">
        <v>314</v>
      </c>
      <c r="C8" s="781" t="s">
        <v>315</v>
      </c>
      <c r="D8" s="781" t="s">
        <v>316</v>
      </c>
      <c r="E8" s="781" t="s">
        <v>317</v>
      </c>
      <c r="F8" s="781"/>
      <c r="G8" s="781" t="s">
        <v>318</v>
      </c>
      <c r="H8" s="781"/>
      <c r="I8" s="781" t="s">
        <v>319</v>
      </c>
      <c r="J8" s="781"/>
      <c r="K8" s="781" t="s">
        <v>320</v>
      </c>
      <c r="L8" s="781"/>
      <c r="M8" s="785" t="s">
        <v>321</v>
      </c>
      <c r="N8" s="774" t="s">
        <v>322</v>
      </c>
      <c r="O8" s="775"/>
    </row>
    <row r="9" spans="1:15" ht="25.5" customHeight="1">
      <c r="A9" s="780"/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  <c r="M9" s="786"/>
      <c r="N9" s="776"/>
      <c r="O9" s="777"/>
    </row>
    <row r="10" spans="1:15" ht="27.75" customHeight="1">
      <c r="A10" s="780"/>
      <c r="B10" s="781"/>
      <c r="C10" s="781"/>
      <c r="D10" s="781"/>
      <c r="E10" s="297" t="s">
        <v>323</v>
      </c>
      <c r="F10" s="297" t="s">
        <v>324</v>
      </c>
      <c r="G10" s="297" t="s">
        <v>323</v>
      </c>
      <c r="H10" s="297" t="s">
        <v>324</v>
      </c>
      <c r="I10" s="297" t="s">
        <v>323</v>
      </c>
      <c r="J10" s="297" t="s">
        <v>324</v>
      </c>
      <c r="K10" s="297" t="s">
        <v>323</v>
      </c>
      <c r="L10" s="297" t="s">
        <v>324</v>
      </c>
      <c r="M10" s="418" t="s">
        <v>325</v>
      </c>
      <c r="N10" s="297" t="s">
        <v>323</v>
      </c>
      <c r="O10" s="297" t="s">
        <v>324</v>
      </c>
    </row>
    <row r="11" spans="1:15" ht="18.75" customHeight="1">
      <c r="A11" s="303" t="s">
        <v>725</v>
      </c>
      <c r="B11" s="175">
        <v>2</v>
      </c>
      <c r="C11" s="175">
        <v>3</v>
      </c>
      <c r="D11" s="175">
        <v>4</v>
      </c>
      <c r="E11" s="175">
        <v>5</v>
      </c>
      <c r="F11" s="175">
        <v>6</v>
      </c>
      <c r="G11" s="175">
        <v>7</v>
      </c>
      <c r="H11" s="175">
        <v>8</v>
      </c>
      <c r="I11" s="175">
        <v>9</v>
      </c>
      <c r="J11" s="175">
        <v>10</v>
      </c>
      <c r="K11" s="175">
        <v>11</v>
      </c>
      <c r="L11" s="175">
        <v>12</v>
      </c>
      <c r="M11" s="303">
        <v>13</v>
      </c>
      <c r="N11" s="378">
        <v>14</v>
      </c>
      <c r="O11" s="378">
        <v>15</v>
      </c>
    </row>
    <row r="12" spans="1:15" s="240" customFormat="1" ht="14.1" customHeight="1">
      <c r="A12" s="389">
        <v>1</v>
      </c>
      <c r="B12" s="390" t="s">
        <v>575</v>
      </c>
      <c r="C12" s="391" t="s">
        <v>576</v>
      </c>
      <c r="D12" s="390" t="s">
        <v>488</v>
      </c>
      <c r="E12" s="392">
        <v>1</v>
      </c>
      <c r="F12" s="384">
        <v>2.4</v>
      </c>
      <c r="G12" s="392">
        <v>1</v>
      </c>
      <c r="H12" s="384">
        <v>2.4</v>
      </c>
      <c r="I12" s="392"/>
      <c r="J12" s="384"/>
      <c r="K12" s="392">
        <v>1</v>
      </c>
      <c r="L12" s="384">
        <v>2.4</v>
      </c>
      <c r="M12" s="389" t="s">
        <v>555</v>
      </c>
      <c r="N12" s="393"/>
      <c r="O12" s="332"/>
    </row>
    <row r="13" spans="1:15" s="240" customFormat="1" ht="14.1" customHeight="1">
      <c r="A13" s="389">
        <v>2</v>
      </c>
      <c r="B13" s="390" t="s">
        <v>577</v>
      </c>
      <c r="C13" s="394" t="s">
        <v>578</v>
      </c>
      <c r="D13" s="390" t="s">
        <v>488</v>
      </c>
      <c r="E13" s="392">
        <v>1</v>
      </c>
      <c r="F13" s="392">
        <v>9.6999999999999993</v>
      </c>
      <c r="G13" s="392"/>
      <c r="H13" s="392"/>
      <c r="I13" s="392">
        <v>1</v>
      </c>
      <c r="J13" s="392">
        <v>9.6999999999999993</v>
      </c>
      <c r="K13" s="390"/>
      <c r="L13" s="390"/>
      <c r="M13" s="395"/>
      <c r="N13" s="396"/>
      <c r="O13" s="397"/>
    </row>
    <row r="14" spans="1:15" s="240" customFormat="1" ht="14.1" customHeight="1">
      <c r="A14" s="389">
        <v>3</v>
      </c>
      <c r="B14" s="390" t="s">
        <v>579</v>
      </c>
      <c r="C14" s="394" t="s">
        <v>580</v>
      </c>
      <c r="D14" s="390" t="s">
        <v>488</v>
      </c>
      <c r="E14" s="392">
        <v>1</v>
      </c>
      <c r="F14" s="384">
        <v>6</v>
      </c>
      <c r="G14" s="392">
        <v>1</v>
      </c>
      <c r="H14" s="384">
        <v>6</v>
      </c>
      <c r="I14" s="394"/>
      <c r="J14" s="394"/>
      <c r="K14" s="392"/>
      <c r="L14" s="384"/>
      <c r="M14" s="398"/>
      <c r="N14" s="392">
        <v>1</v>
      </c>
      <c r="O14" s="304">
        <v>6</v>
      </c>
    </row>
    <row r="15" spans="1:15" s="240" customFormat="1" ht="14.1" customHeight="1">
      <c r="A15" s="389">
        <v>4</v>
      </c>
      <c r="B15" s="390" t="s">
        <v>581</v>
      </c>
      <c r="C15" s="394" t="s">
        <v>582</v>
      </c>
      <c r="D15" s="390" t="s">
        <v>488</v>
      </c>
      <c r="E15" s="392">
        <v>1</v>
      </c>
      <c r="F15" s="384">
        <v>4.3</v>
      </c>
      <c r="G15" s="392">
        <v>1</v>
      </c>
      <c r="H15" s="384">
        <v>4.3</v>
      </c>
      <c r="I15" s="394"/>
      <c r="J15" s="394"/>
      <c r="K15" s="390"/>
      <c r="L15" s="390"/>
      <c r="M15" s="398"/>
      <c r="N15" s="392">
        <v>1</v>
      </c>
      <c r="O15" s="304">
        <v>4.3</v>
      </c>
    </row>
    <row r="16" spans="1:15" s="240" customFormat="1" ht="14.1" customHeight="1">
      <c r="A16" s="389">
        <v>5</v>
      </c>
      <c r="B16" s="390" t="s">
        <v>583</v>
      </c>
      <c r="C16" s="394" t="s">
        <v>584</v>
      </c>
      <c r="D16" s="390" t="s">
        <v>488</v>
      </c>
      <c r="E16" s="392">
        <v>1</v>
      </c>
      <c r="F16" s="384">
        <v>3.6</v>
      </c>
      <c r="G16" s="392">
        <v>1</v>
      </c>
      <c r="H16" s="384">
        <v>3.6</v>
      </c>
      <c r="I16" s="394"/>
      <c r="J16" s="394"/>
      <c r="K16" s="390"/>
      <c r="L16" s="390"/>
      <c r="M16" s="389"/>
      <c r="N16" s="392">
        <v>1</v>
      </c>
      <c r="O16" s="304">
        <v>3.6</v>
      </c>
    </row>
    <row r="17" spans="1:15" s="240" customFormat="1" ht="14.1" customHeight="1">
      <c r="A17" s="389">
        <v>6</v>
      </c>
      <c r="B17" s="390" t="s">
        <v>585</v>
      </c>
      <c r="C17" s="394" t="s">
        <v>586</v>
      </c>
      <c r="D17" s="390" t="s">
        <v>488</v>
      </c>
      <c r="E17" s="392">
        <v>1</v>
      </c>
      <c r="F17" s="384">
        <v>2.5</v>
      </c>
      <c r="G17" s="392"/>
      <c r="H17" s="392"/>
      <c r="I17" s="392"/>
      <c r="J17" s="384"/>
      <c r="K17" s="390"/>
      <c r="L17" s="390"/>
      <c r="M17" s="395"/>
      <c r="N17" s="392">
        <v>1</v>
      </c>
      <c r="O17" s="304">
        <v>2.5</v>
      </c>
    </row>
    <row r="18" spans="1:15" s="240" customFormat="1" ht="14.1" customHeight="1">
      <c r="A18" s="389">
        <v>7</v>
      </c>
      <c r="B18" s="390" t="s">
        <v>587</v>
      </c>
      <c r="C18" s="399" t="s">
        <v>588</v>
      </c>
      <c r="D18" s="390" t="s">
        <v>488</v>
      </c>
      <c r="E18" s="392">
        <v>1</v>
      </c>
      <c r="F18" s="384">
        <v>6.3</v>
      </c>
      <c r="G18" s="392"/>
      <c r="H18" s="392"/>
      <c r="I18" s="393"/>
      <c r="J18" s="385"/>
      <c r="K18" s="390"/>
      <c r="L18" s="390"/>
      <c r="M18" s="395" t="s">
        <v>553</v>
      </c>
      <c r="N18" s="393"/>
      <c r="O18" s="400"/>
    </row>
    <row r="19" spans="1:15" s="240" customFormat="1" ht="14.1" customHeight="1">
      <c r="A19" s="389">
        <v>8</v>
      </c>
      <c r="B19" s="390" t="s">
        <v>589</v>
      </c>
      <c r="C19" s="394" t="s">
        <v>590</v>
      </c>
      <c r="D19" s="390" t="s">
        <v>488</v>
      </c>
      <c r="E19" s="392">
        <v>1</v>
      </c>
      <c r="F19" s="384">
        <v>3.9</v>
      </c>
      <c r="G19" s="392"/>
      <c r="H19" s="392"/>
      <c r="I19" s="394"/>
      <c r="J19" s="394"/>
      <c r="K19" s="390"/>
      <c r="L19" s="390"/>
      <c r="M19" s="395"/>
      <c r="N19" s="392">
        <v>1</v>
      </c>
      <c r="O19" s="304">
        <v>3.9</v>
      </c>
    </row>
    <row r="20" spans="1:15" s="240" customFormat="1" ht="14.1" customHeight="1">
      <c r="A20" s="386">
        <v>9</v>
      </c>
      <c r="B20" s="390" t="s">
        <v>591</v>
      </c>
      <c r="C20" s="394" t="s">
        <v>592</v>
      </c>
      <c r="D20" s="390" t="s">
        <v>488</v>
      </c>
      <c r="E20" s="392">
        <v>1</v>
      </c>
      <c r="F20" s="384">
        <v>3.3</v>
      </c>
      <c r="G20" s="392"/>
      <c r="H20" s="384"/>
      <c r="I20" s="392">
        <v>1</v>
      </c>
      <c r="J20" s="384">
        <v>3.3</v>
      </c>
      <c r="K20" s="390"/>
      <c r="L20" s="390"/>
      <c r="M20" s="395"/>
      <c r="N20" s="393"/>
      <c r="O20" s="332"/>
    </row>
    <row r="21" spans="1:15" s="240" customFormat="1" ht="14.1" customHeight="1">
      <c r="A21" s="389">
        <v>10</v>
      </c>
      <c r="B21" s="390" t="s">
        <v>593</v>
      </c>
      <c r="C21" s="399" t="s">
        <v>594</v>
      </c>
      <c r="D21" s="390" t="s">
        <v>488</v>
      </c>
      <c r="E21" s="392">
        <v>1</v>
      </c>
      <c r="F21" s="384">
        <v>5.5</v>
      </c>
      <c r="G21" s="392"/>
      <c r="H21" s="384"/>
      <c r="I21" s="393"/>
      <c r="J21" s="385"/>
      <c r="K21" s="390"/>
      <c r="L21" s="390"/>
      <c r="M21" s="395" t="s">
        <v>555</v>
      </c>
      <c r="N21" s="393"/>
      <c r="O21" s="332"/>
    </row>
    <row r="22" spans="1:15" s="240" customFormat="1" ht="14.1" customHeight="1">
      <c r="A22" s="389">
        <v>11</v>
      </c>
      <c r="B22" s="390" t="s">
        <v>595</v>
      </c>
      <c r="C22" s="394" t="s">
        <v>554</v>
      </c>
      <c r="D22" s="390" t="s">
        <v>488</v>
      </c>
      <c r="E22" s="392">
        <v>1</v>
      </c>
      <c r="F22" s="384">
        <v>2.4</v>
      </c>
      <c r="G22" s="392">
        <v>1</v>
      </c>
      <c r="H22" s="384">
        <v>2.4</v>
      </c>
      <c r="I22" s="394"/>
      <c r="J22" s="394"/>
      <c r="K22" s="390"/>
      <c r="L22" s="390"/>
      <c r="M22" s="395"/>
      <c r="N22" s="392">
        <v>1</v>
      </c>
      <c r="O22" s="304">
        <v>2.4</v>
      </c>
    </row>
    <row r="23" spans="1:15" s="240" customFormat="1" ht="14.1" customHeight="1">
      <c r="A23" s="389">
        <v>12</v>
      </c>
      <c r="B23" s="390" t="s">
        <v>596</v>
      </c>
      <c r="C23" s="394" t="s">
        <v>597</v>
      </c>
      <c r="D23" s="390" t="s">
        <v>488</v>
      </c>
      <c r="E23" s="392">
        <v>1</v>
      </c>
      <c r="F23" s="384">
        <v>2</v>
      </c>
      <c r="G23" s="392">
        <v>1</v>
      </c>
      <c r="H23" s="384">
        <v>2</v>
      </c>
      <c r="I23" s="394"/>
      <c r="J23" s="394"/>
      <c r="K23" s="390"/>
      <c r="L23" s="390"/>
      <c r="M23" s="389"/>
      <c r="N23" s="392">
        <v>1</v>
      </c>
      <c r="O23" s="304">
        <v>2</v>
      </c>
    </row>
    <row r="24" spans="1:15" s="240" customFormat="1" ht="14.1" customHeight="1">
      <c r="A24" s="389">
        <v>13</v>
      </c>
      <c r="B24" s="390" t="s">
        <v>598</v>
      </c>
      <c r="C24" s="394" t="s">
        <v>599</v>
      </c>
      <c r="D24" s="390" t="s">
        <v>488</v>
      </c>
      <c r="E24" s="392">
        <v>1</v>
      </c>
      <c r="F24" s="387">
        <v>5.6</v>
      </c>
      <c r="G24" s="392">
        <v>1</v>
      </c>
      <c r="H24" s="387">
        <v>5.6</v>
      </c>
      <c r="I24" s="394"/>
      <c r="J24" s="394"/>
      <c r="K24" s="392"/>
      <c r="L24" s="392"/>
      <c r="M24" s="395"/>
      <c r="N24" s="392">
        <v>1</v>
      </c>
      <c r="O24" s="306">
        <v>5.6</v>
      </c>
    </row>
    <row r="25" spans="1:15" s="240" customFormat="1" ht="14.1" customHeight="1">
      <c r="A25" s="389">
        <v>14</v>
      </c>
      <c r="B25" s="390" t="s">
        <v>600</v>
      </c>
      <c r="C25" s="399" t="s">
        <v>601</v>
      </c>
      <c r="D25" s="390" t="s">
        <v>488</v>
      </c>
      <c r="E25" s="392">
        <v>1</v>
      </c>
      <c r="F25" s="387">
        <v>3.8</v>
      </c>
      <c r="G25" s="392"/>
      <c r="H25" s="387"/>
      <c r="I25" s="393"/>
      <c r="J25" s="388"/>
      <c r="K25" s="390"/>
      <c r="L25" s="390"/>
      <c r="M25" s="395" t="s">
        <v>555</v>
      </c>
      <c r="N25" s="393"/>
      <c r="O25" s="333"/>
    </row>
    <row r="26" spans="1:15" s="240" customFormat="1" ht="14.1" customHeight="1">
      <c r="A26" s="401">
        <v>15</v>
      </c>
      <c r="B26" s="390" t="s">
        <v>602</v>
      </c>
      <c r="C26" s="399" t="s">
        <v>603</v>
      </c>
      <c r="D26" s="390" t="s">
        <v>488</v>
      </c>
      <c r="E26" s="392">
        <v>1</v>
      </c>
      <c r="F26" s="387">
        <v>2.4</v>
      </c>
      <c r="G26" s="392"/>
      <c r="H26" s="387"/>
      <c r="I26" s="393"/>
      <c r="J26" s="388"/>
      <c r="K26" s="390"/>
      <c r="L26" s="390"/>
      <c r="M26" s="395" t="s">
        <v>555</v>
      </c>
      <c r="N26" s="393"/>
      <c r="O26" s="333"/>
    </row>
    <row r="27" spans="1:15" s="240" customFormat="1" ht="14.1" customHeight="1">
      <c r="A27" s="389">
        <v>16</v>
      </c>
      <c r="B27" s="390" t="s">
        <v>604</v>
      </c>
      <c r="C27" s="394" t="s">
        <v>605</v>
      </c>
      <c r="D27" s="390" t="s">
        <v>488</v>
      </c>
      <c r="E27" s="392">
        <v>1</v>
      </c>
      <c r="F27" s="387">
        <v>2.7</v>
      </c>
      <c r="G27" s="392">
        <v>1</v>
      </c>
      <c r="H27" s="387">
        <v>2.7</v>
      </c>
      <c r="I27" s="394"/>
      <c r="J27" s="394"/>
      <c r="K27" s="390"/>
      <c r="L27" s="390"/>
      <c r="M27" s="395"/>
      <c r="N27" s="392">
        <v>1</v>
      </c>
      <c r="O27" s="306">
        <v>2.7</v>
      </c>
    </row>
    <row r="28" spans="1:15" s="240" customFormat="1" ht="14.1" customHeight="1">
      <c r="A28" s="389">
        <v>17</v>
      </c>
      <c r="B28" s="390" t="s">
        <v>606</v>
      </c>
      <c r="C28" s="394" t="s">
        <v>607</v>
      </c>
      <c r="D28" s="390" t="s">
        <v>488</v>
      </c>
      <c r="E28" s="392">
        <v>1</v>
      </c>
      <c r="F28" s="387">
        <v>2</v>
      </c>
      <c r="G28" s="392">
        <v>1</v>
      </c>
      <c r="H28" s="387">
        <v>2</v>
      </c>
      <c r="I28" s="394"/>
      <c r="J28" s="394"/>
      <c r="K28" s="390"/>
      <c r="L28" s="390"/>
      <c r="M28" s="389"/>
      <c r="N28" s="392">
        <v>1</v>
      </c>
      <c r="O28" s="306">
        <v>2</v>
      </c>
    </row>
    <row r="29" spans="1:15" s="240" customFormat="1" ht="14.1" customHeight="1">
      <c r="A29" s="389">
        <v>18</v>
      </c>
      <c r="B29" s="390" t="s">
        <v>608</v>
      </c>
      <c r="C29" s="394" t="s">
        <v>609</v>
      </c>
      <c r="D29" s="390" t="s">
        <v>488</v>
      </c>
      <c r="E29" s="392">
        <v>1</v>
      </c>
      <c r="F29" s="387">
        <v>5.7</v>
      </c>
      <c r="G29" s="392"/>
      <c r="H29" s="392"/>
      <c r="I29" s="394"/>
      <c r="J29" s="394"/>
      <c r="K29" s="390"/>
      <c r="L29" s="390"/>
      <c r="M29" s="395"/>
      <c r="N29" s="392">
        <v>1</v>
      </c>
      <c r="O29" s="306">
        <v>5.7</v>
      </c>
    </row>
    <row r="30" spans="1:15" s="240" customFormat="1" ht="14.1" customHeight="1">
      <c r="A30" s="389">
        <v>19</v>
      </c>
      <c r="B30" s="390" t="s">
        <v>610</v>
      </c>
      <c r="C30" s="394" t="s">
        <v>609</v>
      </c>
      <c r="D30" s="390" t="s">
        <v>488</v>
      </c>
      <c r="E30" s="392">
        <v>1</v>
      </c>
      <c r="F30" s="384">
        <v>5.0999999999999996</v>
      </c>
      <c r="G30" s="392"/>
      <c r="H30" s="392"/>
      <c r="I30" s="392">
        <v>1</v>
      </c>
      <c r="J30" s="384">
        <v>5.0999999999999996</v>
      </c>
      <c r="K30" s="390"/>
      <c r="L30" s="390"/>
      <c r="M30" s="395"/>
      <c r="N30" s="396"/>
      <c r="O30" s="397"/>
    </row>
    <row r="31" spans="1:15" s="240" customFormat="1" ht="14.1" customHeight="1">
      <c r="A31" s="389">
        <v>20</v>
      </c>
      <c r="B31" s="390" t="s">
        <v>611</v>
      </c>
      <c r="C31" s="394" t="s">
        <v>612</v>
      </c>
      <c r="D31" s="390" t="s">
        <v>488</v>
      </c>
      <c r="E31" s="392">
        <v>1</v>
      </c>
      <c r="F31" s="384">
        <v>2.9</v>
      </c>
      <c r="G31" s="392">
        <v>1</v>
      </c>
      <c r="H31" s="384">
        <v>2.9</v>
      </c>
      <c r="I31" s="394"/>
      <c r="J31" s="394"/>
      <c r="K31" s="390"/>
      <c r="L31" s="390"/>
      <c r="M31" s="389" t="s">
        <v>555</v>
      </c>
      <c r="N31" s="393"/>
      <c r="O31" s="332"/>
    </row>
    <row r="32" spans="1:15" s="240" customFormat="1" ht="14.1" customHeight="1">
      <c r="A32" s="389">
        <v>21</v>
      </c>
      <c r="B32" s="390" t="s">
        <v>613</v>
      </c>
      <c r="C32" s="394" t="s">
        <v>614</v>
      </c>
      <c r="D32" s="390" t="s">
        <v>488</v>
      </c>
      <c r="E32" s="392">
        <v>1</v>
      </c>
      <c r="F32" s="384">
        <v>4</v>
      </c>
      <c r="G32" s="392"/>
      <c r="H32" s="384"/>
      <c r="I32" s="392">
        <v>1</v>
      </c>
      <c r="J32" s="384">
        <v>4</v>
      </c>
      <c r="K32" s="390"/>
      <c r="L32" s="390"/>
      <c r="M32" s="395"/>
      <c r="N32" s="393"/>
      <c r="O32" s="332"/>
    </row>
    <row r="33" spans="1:15" s="240" customFormat="1" ht="14.1" customHeight="1">
      <c r="A33" s="389">
        <v>22</v>
      </c>
      <c r="B33" s="390" t="s">
        <v>615</v>
      </c>
      <c r="C33" s="394" t="s">
        <v>616</v>
      </c>
      <c r="D33" s="390" t="s">
        <v>488</v>
      </c>
      <c r="E33" s="392">
        <v>1</v>
      </c>
      <c r="F33" s="384">
        <v>5.9</v>
      </c>
      <c r="G33" s="392"/>
      <c r="H33" s="384"/>
      <c r="I33" s="392">
        <v>1</v>
      </c>
      <c r="J33" s="384">
        <v>5.9</v>
      </c>
      <c r="K33" s="390"/>
      <c r="L33" s="390"/>
      <c r="M33" s="395"/>
      <c r="N33" s="393"/>
      <c r="O33" s="332"/>
    </row>
    <row r="34" spans="1:15" s="240" customFormat="1" ht="14.1" customHeight="1">
      <c r="A34" s="389">
        <v>23</v>
      </c>
      <c r="B34" s="390" t="s">
        <v>617</v>
      </c>
      <c r="C34" s="394" t="s">
        <v>618</v>
      </c>
      <c r="D34" s="390" t="s">
        <v>488</v>
      </c>
      <c r="E34" s="392">
        <v>1</v>
      </c>
      <c r="F34" s="384">
        <v>4.5</v>
      </c>
      <c r="G34" s="392">
        <v>1</v>
      </c>
      <c r="H34" s="384">
        <v>4.5</v>
      </c>
      <c r="I34" s="394"/>
      <c r="J34" s="394"/>
      <c r="K34" s="402"/>
      <c r="L34" s="403"/>
      <c r="M34" s="398"/>
      <c r="N34" s="392">
        <v>1</v>
      </c>
      <c r="O34" s="304">
        <v>4.5</v>
      </c>
    </row>
    <row r="35" spans="1:15" s="240" customFormat="1" ht="14.1" customHeight="1">
      <c r="A35" s="389">
        <v>24</v>
      </c>
      <c r="B35" s="390" t="s">
        <v>619</v>
      </c>
      <c r="C35" s="394" t="s">
        <v>620</v>
      </c>
      <c r="D35" s="390" t="s">
        <v>488</v>
      </c>
      <c r="E35" s="392">
        <v>1</v>
      </c>
      <c r="F35" s="384">
        <v>2.2999999999999998</v>
      </c>
      <c r="G35" s="392"/>
      <c r="H35" s="384"/>
      <c r="I35" s="393"/>
      <c r="J35" s="385"/>
      <c r="K35" s="390"/>
      <c r="L35" s="390"/>
      <c r="M35" s="389" t="s">
        <v>555</v>
      </c>
      <c r="N35" s="393"/>
      <c r="O35" s="332"/>
    </row>
    <row r="36" spans="1:15" s="240" customFormat="1" ht="14.1" customHeight="1">
      <c r="A36" s="389">
        <v>25</v>
      </c>
      <c r="B36" s="390" t="s">
        <v>621</v>
      </c>
      <c r="C36" s="394" t="s">
        <v>622</v>
      </c>
      <c r="D36" s="390" t="s">
        <v>488</v>
      </c>
      <c r="E36" s="392">
        <v>1</v>
      </c>
      <c r="F36" s="384">
        <v>6</v>
      </c>
      <c r="G36" s="392"/>
      <c r="H36" s="392"/>
      <c r="I36" s="393"/>
      <c r="J36" s="385"/>
      <c r="K36" s="390"/>
      <c r="L36" s="390"/>
      <c r="M36" s="389" t="s">
        <v>555</v>
      </c>
      <c r="N36" s="396"/>
      <c r="O36" s="397"/>
    </row>
    <row r="37" spans="1:15" s="240" customFormat="1" ht="14.1" customHeight="1">
      <c r="A37" s="389">
        <v>26</v>
      </c>
      <c r="B37" s="390" t="s">
        <v>623</v>
      </c>
      <c r="C37" s="394" t="s">
        <v>624</v>
      </c>
      <c r="D37" s="390" t="s">
        <v>488</v>
      </c>
      <c r="E37" s="392">
        <v>1</v>
      </c>
      <c r="F37" s="384">
        <v>5.2</v>
      </c>
      <c r="G37" s="392"/>
      <c r="H37" s="384"/>
      <c r="I37" s="392">
        <v>1</v>
      </c>
      <c r="J37" s="384">
        <v>5.2</v>
      </c>
      <c r="K37" s="390"/>
      <c r="L37" s="390"/>
      <c r="M37" s="395"/>
      <c r="N37" s="393"/>
      <c r="O37" s="332"/>
    </row>
    <row r="38" spans="1:15" s="240" customFormat="1" ht="14.1" customHeight="1">
      <c r="A38" s="389">
        <v>27</v>
      </c>
      <c r="B38" s="390" t="s">
        <v>625</v>
      </c>
      <c r="C38" s="394" t="s">
        <v>626</v>
      </c>
      <c r="D38" s="390" t="s">
        <v>488</v>
      </c>
      <c r="E38" s="392">
        <v>1</v>
      </c>
      <c r="F38" s="384">
        <v>4.4000000000000004</v>
      </c>
      <c r="G38" s="392"/>
      <c r="H38" s="384"/>
      <c r="I38" s="392"/>
      <c r="J38" s="384"/>
      <c r="K38" s="390"/>
      <c r="L38" s="390"/>
      <c r="M38" s="389" t="s">
        <v>555</v>
      </c>
      <c r="N38" s="393"/>
      <c r="O38" s="332"/>
    </row>
    <row r="39" spans="1:15" s="240" customFormat="1" ht="14.1" customHeight="1">
      <c r="A39" s="389">
        <v>28</v>
      </c>
      <c r="B39" s="390" t="s">
        <v>627</v>
      </c>
      <c r="C39" s="399" t="s">
        <v>628</v>
      </c>
      <c r="D39" s="390" t="s">
        <v>488</v>
      </c>
      <c r="E39" s="392">
        <v>1</v>
      </c>
      <c r="F39" s="384">
        <v>5.8</v>
      </c>
      <c r="G39" s="392"/>
      <c r="H39" s="384"/>
      <c r="I39" s="393"/>
      <c r="J39" s="385"/>
      <c r="K39" s="390"/>
      <c r="L39" s="390"/>
      <c r="M39" s="404" t="s">
        <v>629</v>
      </c>
      <c r="N39" s="393"/>
      <c r="O39" s="332"/>
    </row>
    <row r="40" spans="1:15" s="240" customFormat="1" ht="14.1" customHeight="1">
      <c r="A40" s="389">
        <v>29</v>
      </c>
      <c r="B40" s="390" t="s">
        <v>630</v>
      </c>
      <c r="C40" s="394" t="s">
        <v>631</v>
      </c>
      <c r="D40" s="390" t="s">
        <v>488</v>
      </c>
      <c r="E40" s="392">
        <v>1</v>
      </c>
      <c r="F40" s="394">
        <v>5.4</v>
      </c>
      <c r="G40" s="392"/>
      <c r="H40" s="394"/>
      <c r="I40" s="405"/>
      <c r="J40" s="405"/>
      <c r="K40" s="390"/>
      <c r="L40" s="390"/>
      <c r="M40" s="395"/>
      <c r="N40" s="392">
        <v>1</v>
      </c>
      <c r="O40" s="406">
        <v>5.4</v>
      </c>
    </row>
    <row r="41" spans="1:15" s="240" customFormat="1" ht="14.1" customHeight="1">
      <c r="A41" s="389">
        <v>30</v>
      </c>
      <c r="B41" s="390" t="s">
        <v>632</v>
      </c>
      <c r="C41" s="394" t="s">
        <v>633</v>
      </c>
      <c r="D41" s="390" t="s">
        <v>488</v>
      </c>
      <c r="E41" s="392">
        <v>1</v>
      </c>
      <c r="F41" s="394">
        <v>3</v>
      </c>
      <c r="G41" s="392">
        <v>1</v>
      </c>
      <c r="H41" s="394">
        <v>3</v>
      </c>
      <c r="I41" s="394"/>
      <c r="J41" s="394"/>
      <c r="K41" s="390"/>
      <c r="L41" s="390"/>
      <c r="M41" s="389"/>
      <c r="N41" s="392">
        <v>1</v>
      </c>
      <c r="O41" s="406">
        <v>3</v>
      </c>
    </row>
    <row r="42" spans="1:15" s="240" customFormat="1" ht="14.1" customHeight="1">
      <c r="A42" s="389">
        <v>31</v>
      </c>
      <c r="B42" s="390" t="s">
        <v>634</v>
      </c>
      <c r="C42" s="394" t="s">
        <v>635</v>
      </c>
      <c r="D42" s="390" t="s">
        <v>488</v>
      </c>
      <c r="E42" s="392">
        <v>1</v>
      </c>
      <c r="F42" s="394">
        <v>3.6</v>
      </c>
      <c r="G42" s="392">
        <v>1</v>
      </c>
      <c r="H42" s="394">
        <v>3.6</v>
      </c>
      <c r="I42" s="394"/>
      <c r="J42" s="394"/>
      <c r="K42" s="390"/>
      <c r="L42" s="390"/>
      <c r="M42" s="389"/>
      <c r="N42" s="392">
        <v>1</v>
      </c>
      <c r="O42" s="406">
        <v>3.6</v>
      </c>
    </row>
    <row r="43" spans="1:15" s="240" customFormat="1" ht="14.1" customHeight="1">
      <c r="A43" s="389">
        <v>32</v>
      </c>
      <c r="B43" s="390" t="s">
        <v>636</v>
      </c>
      <c r="C43" s="394" t="s">
        <v>637</v>
      </c>
      <c r="D43" s="390" t="s">
        <v>488</v>
      </c>
      <c r="E43" s="392">
        <v>1</v>
      </c>
      <c r="F43" s="394">
        <v>3.2</v>
      </c>
      <c r="G43" s="392"/>
      <c r="H43" s="394"/>
      <c r="I43" s="392">
        <v>1</v>
      </c>
      <c r="J43" s="394">
        <v>3.2</v>
      </c>
      <c r="K43" s="390"/>
      <c r="L43" s="390"/>
      <c r="M43" s="389"/>
      <c r="N43" s="393"/>
      <c r="O43" s="397"/>
    </row>
    <row r="44" spans="1:15" s="240" customFormat="1" ht="14.1" customHeight="1">
      <c r="A44" s="389">
        <v>33</v>
      </c>
      <c r="B44" s="390" t="s">
        <v>638</v>
      </c>
      <c r="C44" s="399" t="s">
        <v>639</v>
      </c>
      <c r="D44" s="390" t="s">
        <v>488</v>
      </c>
      <c r="E44" s="392">
        <v>1</v>
      </c>
      <c r="F44" s="394">
        <v>2.7</v>
      </c>
      <c r="G44" s="392"/>
      <c r="H44" s="392"/>
      <c r="I44" s="393"/>
      <c r="J44" s="407"/>
      <c r="K44" s="390"/>
      <c r="L44" s="390"/>
      <c r="M44" s="404" t="s">
        <v>726</v>
      </c>
      <c r="N44" s="393"/>
      <c r="O44" s="400"/>
    </row>
    <row r="45" spans="1:15" s="240" customFormat="1" ht="14.1" customHeight="1">
      <c r="A45" s="389">
        <v>34</v>
      </c>
      <c r="B45" s="390" t="s">
        <v>640</v>
      </c>
      <c r="C45" s="408" t="s">
        <v>641</v>
      </c>
      <c r="D45" s="390" t="s">
        <v>488</v>
      </c>
      <c r="E45" s="393">
        <v>1</v>
      </c>
      <c r="F45" s="407">
        <v>4.5999999999999996</v>
      </c>
      <c r="G45" s="393">
        <v>1</v>
      </c>
      <c r="H45" s="407">
        <v>4.5999999999999996</v>
      </c>
      <c r="I45" s="394"/>
      <c r="J45" s="394"/>
      <c r="K45" s="390"/>
      <c r="L45" s="390"/>
      <c r="M45" s="404" t="s">
        <v>555</v>
      </c>
      <c r="N45" s="393"/>
      <c r="O45" s="397"/>
    </row>
    <row r="46" spans="1:15" s="240" customFormat="1" ht="14.1" customHeight="1">
      <c r="A46" s="409">
        <v>35</v>
      </c>
      <c r="B46" s="410" t="s">
        <v>642</v>
      </c>
      <c r="C46" s="394" t="s">
        <v>643</v>
      </c>
      <c r="D46" s="390" t="s">
        <v>488</v>
      </c>
      <c r="E46" s="393">
        <v>1</v>
      </c>
      <c r="F46" s="396">
        <v>5.9</v>
      </c>
      <c r="G46" s="393">
        <v>1</v>
      </c>
      <c r="H46" s="396">
        <v>5.9</v>
      </c>
      <c r="I46" s="393"/>
      <c r="J46" s="396"/>
      <c r="K46" s="390"/>
      <c r="L46" s="390"/>
      <c r="M46" s="404"/>
      <c r="N46" s="393">
        <v>1</v>
      </c>
      <c r="O46" s="397">
        <v>5.9</v>
      </c>
    </row>
    <row r="47" spans="1:15" s="240" customFormat="1" ht="14.1" customHeight="1">
      <c r="A47" s="409">
        <v>36</v>
      </c>
      <c r="B47" s="410" t="s">
        <v>645</v>
      </c>
      <c r="C47" s="394" t="s">
        <v>646</v>
      </c>
      <c r="D47" s="390" t="s">
        <v>488</v>
      </c>
      <c r="E47" s="393">
        <v>1</v>
      </c>
      <c r="F47" s="396">
        <v>7.5</v>
      </c>
      <c r="G47" s="393">
        <v>1</v>
      </c>
      <c r="H47" s="396">
        <v>7.5</v>
      </c>
      <c r="I47" s="399"/>
      <c r="J47" s="399"/>
      <c r="K47" s="390"/>
      <c r="L47" s="390"/>
      <c r="M47" s="409"/>
      <c r="N47" s="393">
        <v>1</v>
      </c>
      <c r="O47" s="397">
        <v>7.5</v>
      </c>
    </row>
    <row r="48" spans="1:15" s="240" customFormat="1" ht="14.1" customHeight="1">
      <c r="A48" s="409">
        <v>37</v>
      </c>
      <c r="B48" s="410" t="s">
        <v>647</v>
      </c>
      <c r="C48" s="394" t="s">
        <v>648</v>
      </c>
      <c r="D48" s="390" t="s">
        <v>488</v>
      </c>
      <c r="E48" s="393">
        <v>1</v>
      </c>
      <c r="F48" s="396">
        <v>3.1</v>
      </c>
      <c r="G48" s="393">
        <v>1</v>
      </c>
      <c r="H48" s="396">
        <v>3.1</v>
      </c>
      <c r="I48" s="399"/>
      <c r="J48" s="399"/>
      <c r="K48" s="390"/>
      <c r="L48" s="390"/>
      <c r="M48" s="404"/>
      <c r="N48" s="393">
        <v>1</v>
      </c>
      <c r="O48" s="397">
        <v>3.1</v>
      </c>
    </row>
    <row r="49" spans="1:15" s="240" customFormat="1" ht="14.1" customHeight="1">
      <c r="A49" s="409">
        <v>38</v>
      </c>
      <c r="B49" s="410" t="s">
        <v>649</v>
      </c>
      <c r="C49" s="394" t="s">
        <v>650</v>
      </c>
      <c r="D49" s="390" t="s">
        <v>488</v>
      </c>
      <c r="E49" s="393">
        <v>1</v>
      </c>
      <c r="F49" s="396">
        <v>4.7</v>
      </c>
      <c r="G49" s="393"/>
      <c r="H49" s="396"/>
      <c r="I49" s="393">
        <v>1</v>
      </c>
      <c r="J49" s="396">
        <v>4.7</v>
      </c>
      <c r="K49" s="390"/>
      <c r="L49" s="390"/>
      <c r="M49" s="409"/>
      <c r="N49" s="393"/>
      <c r="O49" s="397"/>
    </row>
    <row r="50" spans="1:15" s="240" customFormat="1" ht="14.1" customHeight="1">
      <c r="A50" s="409">
        <v>39</v>
      </c>
      <c r="B50" s="410" t="s">
        <v>651</v>
      </c>
      <c r="C50" s="394" t="s">
        <v>652</v>
      </c>
      <c r="D50" s="390" t="s">
        <v>488</v>
      </c>
      <c r="E50" s="393">
        <v>1</v>
      </c>
      <c r="F50" s="396">
        <v>3.4</v>
      </c>
      <c r="G50" s="393">
        <v>1</v>
      </c>
      <c r="H50" s="396">
        <v>3.4</v>
      </c>
      <c r="I50" s="399"/>
      <c r="J50" s="399"/>
      <c r="K50" s="390"/>
      <c r="L50" s="390"/>
      <c r="M50" s="409"/>
      <c r="N50" s="393">
        <v>1</v>
      </c>
      <c r="O50" s="397">
        <v>3.4</v>
      </c>
    </row>
    <row r="51" spans="1:15" s="240" customFormat="1" ht="14.1" customHeight="1">
      <c r="A51" s="409">
        <v>40</v>
      </c>
      <c r="B51" s="410" t="s">
        <v>653</v>
      </c>
      <c r="C51" s="394" t="s">
        <v>654</v>
      </c>
      <c r="D51" s="390" t="s">
        <v>488</v>
      </c>
      <c r="E51" s="393">
        <v>1</v>
      </c>
      <c r="F51" s="396">
        <v>3.1</v>
      </c>
      <c r="G51" s="393">
        <v>1</v>
      </c>
      <c r="H51" s="396">
        <v>3.1</v>
      </c>
      <c r="I51" s="399"/>
      <c r="J51" s="399"/>
      <c r="K51" s="390"/>
      <c r="L51" s="390"/>
      <c r="M51" s="409"/>
      <c r="N51" s="393">
        <v>1</v>
      </c>
      <c r="O51" s="397">
        <v>3.1</v>
      </c>
    </row>
    <row r="52" spans="1:15" s="240" customFormat="1" ht="14.1" customHeight="1">
      <c r="A52" s="409">
        <v>41</v>
      </c>
      <c r="B52" s="410" t="s">
        <v>655</v>
      </c>
      <c r="C52" s="394" t="s">
        <v>656</v>
      </c>
      <c r="D52" s="390" t="s">
        <v>488</v>
      </c>
      <c r="E52" s="393">
        <v>1</v>
      </c>
      <c r="F52" s="396">
        <v>4.5</v>
      </c>
      <c r="G52" s="393"/>
      <c r="H52" s="393"/>
      <c r="I52" s="393">
        <v>1</v>
      </c>
      <c r="J52" s="396">
        <v>4.5</v>
      </c>
      <c r="K52" s="390"/>
      <c r="L52" s="390"/>
      <c r="M52" s="409"/>
      <c r="N52" s="393"/>
      <c r="O52" s="400"/>
    </row>
    <row r="53" spans="1:15" s="240" customFormat="1" ht="14.1" customHeight="1">
      <c r="A53" s="409">
        <v>42</v>
      </c>
      <c r="B53" s="410" t="s">
        <v>657</v>
      </c>
      <c r="C53" s="394" t="s">
        <v>658</v>
      </c>
      <c r="D53" s="390" t="s">
        <v>488</v>
      </c>
      <c r="E53" s="393">
        <v>1</v>
      </c>
      <c r="F53" s="396">
        <v>5.0999999999999996</v>
      </c>
      <c r="G53" s="393">
        <v>1</v>
      </c>
      <c r="H53" s="396">
        <v>5.0999999999999996</v>
      </c>
      <c r="I53" s="399"/>
      <c r="J53" s="399"/>
      <c r="K53" s="390"/>
      <c r="L53" s="390"/>
      <c r="M53" s="409"/>
      <c r="N53" s="393">
        <v>1</v>
      </c>
      <c r="O53" s="397">
        <v>5.0999999999999996</v>
      </c>
    </row>
    <row r="54" spans="1:15" s="240" customFormat="1" ht="14.1" customHeight="1">
      <c r="A54" s="409">
        <v>43</v>
      </c>
      <c r="B54" s="410" t="s">
        <v>659</v>
      </c>
      <c r="C54" s="394" t="s">
        <v>660</v>
      </c>
      <c r="D54" s="390" t="s">
        <v>488</v>
      </c>
      <c r="E54" s="393">
        <v>1</v>
      </c>
      <c r="F54" s="396">
        <v>3.2</v>
      </c>
      <c r="G54" s="393"/>
      <c r="H54" s="393"/>
      <c r="I54" s="399"/>
      <c r="J54" s="399"/>
      <c r="K54" s="390"/>
      <c r="L54" s="390"/>
      <c r="M54" s="395"/>
      <c r="N54" s="393">
        <v>1</v>
      </c>
      <c r="O54" s="397">
        <v>3.2</v>
      </c>
    </row>
    <row r="55" spans="1:15" s="240" customFormat="1" ht="14.1" customHeight="1">
      <c r="A55" s="409">
        <v>44</v>
      </c>
      <c r="B55" s="410" t="s">
        <v>661</v>
      </c>
      <c r="C55" s="394" t="s">
        <v>662</v>
      </c>
      <c r="D55" s="390" t="s">
        <v>488</v>
      </c>
      <c r="E55" s="393">
        <v>1</v>
      </c>
      <c r="F55" s="396">
        <v>28.2</v>
      </c>
      <c r="G55" s="393"/>
      <c r="H55" s="396"/>
      <c r="I55" s="399"/>
      <c r="J55" s="399"/>
      <c r="K55" s="390"/>
      <c r="L55" s="390"/>
      <c r="M55" s="404" t="s">
        <v>644</v>
      </c>
      <c r="N55" s="393"/>
      <c r="O55" s="400"/>
    </row>
    <row r="56" spans="1:15" s="240" customFormat="1" ht="14.1" customHeight="1">
      <c r="A56" s="409">
        <v>45</v>
      </c>
      <c r="B56" s="410" t="s">
        <v>663</v>
      </c>
      <c r="C56" s="394" t="s">
        <v>664</v>
      </c>
      <c r="D56" s="390" t="s">
        <v>488</v>
      </c>
      <c r="E56" s="393">
        <v>1</v>
      </c>
      <c r="F56" s="396">
        <v>2.5</v>
      </c>
      <c r="G56" s="393">
        <v>1</v>
      </c>
      <c r="H56" s="396">
        <v>2.5</v>
      </c>
      <c r="I56" s="399"/>
      <c r="J56" s="399"/>
      <c r="K56" s="390"/>
      <c r="L56" s="390"/>
      <c r="M56" s="404" t="s">
        <v>555</v>
      </c>
      <c r="N56" s="393"/>
      <c r="O56" s="400"/>
    </row>
    <row r="57" spans="1:15" s="240" customFormat="1" ht="14.1" customHeight="1">
      <c r="A57" s="409">
        <v>46</v>
      </c>
      <c r="B57" s="410" t="s">
        <v>665</v>
      </c>
      <c r="C57" s="394" t="s">
        <v>666</v>
      </c>
      <c r="D57" s="390" t="s">
        <v>488</v>
      </c>
      <c r="E57" s="393">
        <v>1</v>
      </c>
      <c r="F57" s="396">
        <v>2.7</v>
      </c>
      <c r="G57" s="393"/>
      <c r="H57" s="396"/>
      <c r="I57" s="399"/>
      <c r="J57" s="399"/>
      <c r="K57" s="390"/>
      <c r="L57" s="390"/>
      <c r="M57" s="409"/>
      <c r="N57" s="393">
        <v>1</v>
      </c>
      <c r="O57" s="397">
        <v>2.7</v>
      </c>
    </row>
    <row r="58" spans="1:15" s="240" customFormat="1" ht="14.1" customHeight="1">
      <c r="A58" s="409">
        <v>47</v>
      </c>
      <c r="B58" s="410" t="s">
        <v>667</v>
      </c>
      <c r="C58" s="394" t="s">
        <v>668</v>
      </c>
      <c r="D58" s="390" t="s">
        <v>488</v>
      </c>
      <c r="E58" s="393">
        <v>1</v>
      </c>
      <c r="F58" s="396">
        <v>3.2</v>
      </c>
      <c r="G58" s="393"/>
      <c r="H58" s="393"/>
      <c r="I58" s="399"/>
      <c r="J58" s="399"/>
      <c r="K58" s="390"/>
      <c r="L58" s="390"/>
      <c r="M58" s="404"/>
      <c r="N58" s="393">
        <v>1</v>
      </c>
      <c r="O58" s="397">
        <v>3.2</v>
      </c>
    </row>
    <row r="59" spans="1:15" s="240" customFormat="1" ht="14.1" customHeight="1">
      <c r="A59" s="409">
        <v>48</v>
      </c>
      <c r="B59" s="410" t="s">
        <v>669</v>
      </c>
      <c r="C59" s="394" t="s">
        <v>554</v>
      </c>
      <c r="D59" s="390" t="s">
        <v>488</v>
      </c>
      <c r="E59" s="393">
        <v>1</v>
      </c>
      <c r="F59" s="396">
        <v>2.4</v>
      </c>
      <c r="G59" s="393"/>
      <c r="H59" s="396"/>
      <c r="I59" s="393"/>
      <c r="J59" s="396"/>
      <c r="K59" s="390"/>
      <c r="L59" s="390"/>
      <c r="M59" s="409" t="s">
        <v>555</v>
      </c>
      <c r="N59" s="393"/>
      <c r="O59" s="397"/>
    </row>
    <row r="60" spans="1:15" s="240" customFormat="1" ht="14.1" customHeight="1">
      <c r="A60" s="409">
        <v>49</v>
      </c>
      <c r="B60" s="410" t="s">
        <v>670</v>
      </c>
      <c r="C60" s="394" t="s">
        <v>671</v>
      </c>
      <c r="D60" s="390" t="s">
        <v>488</v>
      </c>
      <c r="E60" s="393">
        <v>1</v>
      </c>
      <c r="F60" s="393">
        <v>2</v>
      </c>
      <c r="G60" s="393"/>
      <c r="H60" s="393"/>
      <c r="I60" s="399"/>
      <c r="J60" s="399"/>
      <c r="K60" s="390"/>
      <c r="L60" s="390"/>
      <c r="M60" s="404"/>
      <c r="N60" s="393">
        <v>1</v>
      </c>
      <c r="O60" s="400">
        <v>2</v>
      </c>
    </row>
    <row r="61" spans="1:15" s="240" customFormat="1" ht="14.1" customHeight="1">
      <c r="A61" s="409">
        <v>50</v>
      </c>
      <c r="B61" s="410" t="s">
        <v>672</v>
      </c>
      <c r="C61" s="394" t="s">
        <v>673</v>
      </c>
      <c r="D61" s="390" t="s">
        <v>488</v>
      </c>
      <c r="E61" s="393">
        <v>1</v>
      </c>
      <c r="F61" s="393">
        <v>8.5</v>
      </c>
      <c r="G61" s="393"/>
      <c r="H61" s="393"/>
      <c r="I61" s="399"/>
      <c r="J61" s="399"/>
      <c r="K61" s="390"/>
      <c r="L61" s="390"/>
      <c r="M61" s="404"/>
      <c r="N61" s="393">
        <v>1</v>
      </c>
      <c r="O61" s="400">
        <v>8.5</v>
      </c>
    </row>
    <row r="62" spans="1:15" s="240" customFormat="1" ht="14.1" customHeight="1">
      <c r="A62" s="409">
        <v>51</v>
      </c>
      <c r="B62" s="410" t="s">
        <v>674</v>
      </c>
      <c r="C62" s="394" t="s">
        <v>675</v>
      </c>
      <c r="D62" s="390" t="s">
        <v>488</v>
      </c>
      <c r="E62" s="393">
        <v>1</v>
      </c>
      <c r="F62" s="393">
        <v>3.6</v>
      </c>
      <c r="G62" s="393">
        <v>1</v>
      </c>
      <c r="H62" s="393">
        <v>3.6</v>
      </c>
      <c r="I62" s="399"/>
      <c r="J62" s="399"/>
      <c r="K62" s="390"/>
      <c r="L62" s="390"/>
      <c r="M62" s="404"/>
      <c r="N62" s="393">
        <v>1</v>
      </c>
      <c r="O62" s="400">
        <v>3.6</v>
      </c>
    </row>
    <row r="63" spans="1:15" s="240" customFormat="1" ht="14.1" customHeight="1">
      <c r="A63" s="409">
        <v>52</v>
      </c>
      <c r="B63" s="410" t="s">
        <v>676</v>
      </c>
      <c r="C63" s="394" t="s">
        <v>677</v>
      </c>
      <c r="D63" s="390" t="s">
        <v>488</v>
      </c>
      <c r="E63" s="393">
        <v>1</v>
      </c>
      <c r="F63" s="393">
        <v>3.6</v>
      </c>
      <c r="G63" s="393">
        <v>1</v>
      </c>
      <c r="H63" s="393">
        <v>3.6</v>
      </c>
      <c r="I63" s="399"/>
      <c r="J63" s="399"/>
      <c r="K63" s="390"/>
      <c r="L63" s="390"/>
      <c r="M63" s="404"/>
      <c r="N63" s="393">
        <v>1</v>
      </c>
      <c r="O63" s="400">
        <v>3.6</v>
      </c>
    </row>
    <row r="64" spans="1:15" s="240" customFormat="1" ht="14.1" customHeight="1">
      <c r="A64" s="409">
        <v>53</v>
      </c>
      <c r="B64" s="410" t="s">
        <v>678</v>
      </c>
      <c r="C64" s="399" t="s">
        <v>679</v>
      </c>
      <c r="D64" s="390" t="s">
        <v>488</v>
      </c>
      <c r="E64" s="393">
        <v>1</v>
      </c>
      <c r="F64" s="393">
        <v>16.600000000000001</v>
      </c>
      <c r="G64" s="393"/>
      <c r="H64" s="393"/>
      <c r="I64" s="399"/>
      <c r="J64" s="399"/>
      <c r="K64" s="390"/>
      <c r="L64" s="390"/>
      <c r="M64" s="404" t="s">
        <v>644</v>
      </c>
      <c r="N64" s="396"/>
      <c r="O64" s="397"/>
    </row>
    <row r="65" spans="1:15" s="240" customFormat="1" ht="14.1" customHeight="1">
      <c r="A65" s="409">
        <v>54</v>
      </c>
      <c r="B65" s="410" t="s">
        <v>680</v>
      </c>
      <c r="C65" s="399" t="s">
        <v>681</v>
      </c>
      <c r="D65" s="390" t="s">
        <v>488</v>
      </c>
      <c r="E65" s="393">
        <v>1</v>
      </c>
      <c r="F65" s="393">
        <v>5.5</v>
      </c>
      <c r="G65" s="393">
        <v>1</v>
      </c>
      <c r="H65" s="393">
        <v>5.5</v>
      </c>
      <c r="I65" s="399"/>
      <c r="J65" s="399"/>
      <c r="K65" s="390"/>
      <c r="L65" s="390"/>
      <c r="M65" s="404"/>
      <c r="N65" s="393">
        <v>1</v>
      </c>
      <c r="O65" s="400">
        <v>5.5</v>
      </c>
    </row>
    <row r="66" spans="1:15" s="240" customFormat="1" ht="14.1" customHeight="1">
      <c r="A66" s="409">
        <v>55</v>
      </c>
      <c r="B66" s="410" t="s">
        <v>682</v>
      </c>
      <c r="C66" s="399" t="s">
        <v>683</v>
      </c>
      <c r="D66" s="390" t="s">
        <v>488</v>
      </c>
      <c r="E66" s="393">
        <v>1</v>
      </c>
      <c r="F66" s="393">
        <v>24.2</v>
      </c>
      <c r="G66" s="393"/>
      <c r="H66" s="393"/>
      <c r="I66" s="393">
        <v>1</v>
      </c>
      <c r="J66" s="393">
        <v>24.2</v>
      </c>
      <c r="K66" s="390"/>
      <c r="L66" s="390"/>
      <c r="M66" s="404"/>
      <c r="N66" s="396"/>
      <c r="O66" s="397"/>
    </row>
    <row r="67" spans="1:15" s="240" customFormat="1" ht="14.1" customHeight="1">
      <c r="A67" s="409">
        <v>56</v>
      </c>
      <c r="B67" s="410" t="s">
        <v>684</v>
      </c>
      <c r="C67" s="399" t="s">
        <v>685</v>
      </c>
      <c r="D67" s="390" t="s">
        <v>488</v>
      </c>
      <c r="E67" s="393">
        <v>1</v>
      </c>
      <c r="F67" s="393">
        <v>6.1</v>
      </c>
      <c r="G67" s="393"/>
      <c r="H67" s="393"/>
      <c r="I67" s="393"/>
      <c r="J67" s="393"/>
      <c r="K67" s="390"/>
      <c r="L67" s="390"/>
      <c r="M67" s="404" t="s">
        <v>727</v>
      </c>
      <c r="N67" s="396"/>
      <c r="O67" s="397"/>
    </row>
    <row r="68" spans="1:15" s="240" customFormat="1" ht="14.1" customHeight="1">
      <c r="A68" s="409">
        <v>57</v>
      </c>
      <c r="B68" s="410" t="s">
        <v>686</v>
      </c>
      <c r="C68" s="399" t="s">
        <v>687</v>
      </c>
      <c r="D68" s="390" t="s">
        <v>488</v>
      </c>
      <c r="E68" s="393">
        <v>1</v>
      </c>
      <c r="F68" s="393">
        <v>13</v>
      </c>
      <c r="G68" s="393"/>
      <c r="H68" s="393"/>
      <c r="I68" s="393">
        <v>1</v>
      </c>
      <c r="J68" s="393">
        <v>13</v>
      </c>
      <c r="K68" s="390"/>
      <c r="L68" s="390"/>
      <c r="M68" s="404" t="s">
        <v>728</v>
      </c>
      <c r="N68" s="396"/>
      <c r="O68" s="397"/>
    </row>
    <row r="69" spans="1:15" s="240" customFormat="1" ht="14.1" customHeight="1">
      <c r="A69" s="409">
        <v>58</v>
      </c>
      <c r="B69" s="410" t="s">
        <v>688</v>
      </c>
      <c r="C69" s="399" t="s">
        <v>689</v>
      </c>
      <c r="D69" s="390" t="s">
        <v>488</v>
      </c>
      <c r="E69" s="393">
        <v>1</v>
      </c>
      <c r="F69" s="393">
        <v>4.8</v>
      </c>
      <c r="G69" s="393">
        <v>1</v>
      </c>
      <c r="H69" s="393">
        <v>4.8</v>
      </c>
      <c r="I69" s="399"/>
      <c r="J69" s="399"/>
      <c r="K69" s="390"/>
      <c r="L69" s="390"/>
      <c r="M69" s="404"/>
      <c r="N69" s="393">
        <v>1</v>
      </c>
      <c r="O69" s="400">
        <v>4.8</v>
      </c>
    </row>
    <row r="70" spans="1:15" s="240" customFormat="1" ht="14.1" customHeight="1">
      <c r="A70" s="409">
        <v>59</v>
      </c>
      <c r="B70" s="410" t="s">
        <v>690</v>
      </c>
      <c r="C70" s="410" t="s">
        <v>691</v>
      </c>
      <c r="D70" s="390" t="s">
        <v>488</v>
      </c>
      <c r="E70" s="393">
        <v>1</v>
      </c>
      <c r="F70" s="393">
        <v>24.4</v>
      </c>
      <c r="G70" s="393"/>
      <c r="H70" s="393"/>
      <c r="I70" s="393"/>
      <c r="J70" s="393"/>
      <c r="K70" s="390"/>
      <c r="L70" s="390"/>
      <c r="M70" s="404" t="s">
        <v>555</v>
      </c>
      <c r="N70" s="396"/>
      <c r="O70" s="397"/>
    </row>
    <row r="71" spans="1:15" s="240" customFormat="1" ht="14.1" customHeight="1">
      <c r="A71" s="409">
        <v>60</v>
      </c>
      <c r="B71" s="410" t="s">
        <v>692</v>
      </c>
      <c r="C71" s="410" t="str">
        <f>[37]Лист1!B701</f>
        <v>Чередніченко Н.В.</v>
      </c>
      <c r="D71" s="390" t="s">
        <v>488</v>
      </c>
      <c r="E71" s="393">
        <v>1</v>
      </c>
      <c r="F71" s="393">
        <v>2.5</v>
      </c>
      <c r="G71" s="393">
        <v>1</v>
      </c>
      <c r="H71" s="393">
        <v>2.5</v>
      </c>
      <c r="I71" s="393"/>
      <c r="J71" s="393"/>
      <c r="K71" s="390"/>
      <c r="L71" s="390"/>
      <c r="M71" s="404" t="s">
        <v>555</v>
      </c>
      <c r="N71" s="396"/>
      <c r="O71" s="397"/>
    </row>
    <row r="72" spans="1:15" s="240" customFormat="1" ht="14.1" customHeight="1">
      <c r="A72" s="409">
        <v>61</v>
      </c>
      <c r="B72" s="410" t="s">
        <v>693</v>
      </c>
      <c r="C72" s="410" t="str">
        <f>[37]Лист1!B702</f>
        <v>Сілідуєв Ф.Д.</v>
      </c>
      <c r="D72" s="390" t="s">
        <v>488</v>
      </c>
      <c r="E72" s="393">
        <v>1</v>
      </c>
      <c r="F72" s="393">
        <v>3.3</v>
      </c>
      <c r="G72" s="393">
        <v>1</v>
      </c>
      <c r="H72" s="393">
        <v>3.3</v>
      </c>
      <c r="I72" s="399"/>
      <c r="J72" s="399"/>
      <c r="K72" s="390"/>
      <c r="L72" s="390"/>
      <c r="M72" s="404"/>
      <c r="N72" s="393">
        <v>1</v>
      </c>
      <c r="O72" s="400">
        <v>3.3</v>
      </c>
    </row>
    <row r="73" spans="1:15" s="240" customFormat="1" ht="14.1" customHeight="1">
      <c r="A73" s="409">
        <v>62</v>
      </c>
      <c r="B73" s="410" t="s">
        <v>692</v>
      </c>
      <c r="C73" s="410" t="str">
        <f>[37]Лист1!B703</f>
        <v>Шевченко І.Г.</v>
      </c>
      <c r="D73" s="390" t="s">
        <v>488</v>
      </c>
      <c r="E73" s="393">
        <v>1</v>
      </c>
      <c r="F73" s="393">
        <v>2.4</v>
      </c>
      <c r="G73" s="393">
        <v>1</v>
      </c>
      <c r="H73" s="393">
        <v>2.4</v>
      </c>
      <c r="I73" s="399"/>
      <c r="J73" s="399"/>
      <c r="K73" s="390"/>
      <c r="L73" s="390"/>
      <c r="M73" s="404" t="s">
        <v>555</v>
      </c>
      <c r="N73" s="393"/>
      <c r="O73" s="400"/>
    </row>
    <row r="74" spans="1:15" s="240" customFormat="1" ht="14.1" customHeight="1">
      <c r="A74" s="409">
        <v>63</v>
      </c>
      <c r="B74" s="410" t="s">
        <v>694</v>
      </c>
      <c r="C74" s="410" t="str">
        <f>[37]Лист1!B704</f>
        <v>Хоменко Галина  Михайлівна</v>
      </c>
      <c r="D74" s="390" t="s">
        <v>488</v>
      </c>
      <c r="E74" s="393">
        <v>1</v>
      </c>
      <c r="F74" s="393">
        <v>3.7</v>
      </c>
      <c r="G74" s="393"/>
      <c r="H74" s="393"/>
      <c r="I74" s="399"/>
      <c r="J74" s="399"/>
      <c r="K74" s="390"/>
      <c r="L74" s="390"/>
      <c r="M74" s="404"/>
      <c r="N74" s="393">
        <v>1</v>
      </c>
      <c r="O74" s="400">
        <v>3.7</v>
      </c>
    </row>
    <row r="75" spans="1:15" s="240" customFormat="1" ht="14.1" customHeight="1">
      <c r="A75" s="409">
        <v>64</v>
      </c>
      <c r="B75" s="410" t="s">
        <v>695</v>
      </c>
      <c r="C75" s="410" t="str">
        <f>[37]Лист1!B705</f>
        <v>Варченко Антоніна Анатоліївна</v>
      </c>
      <c r="D75" s="390" t="s">
        <v>488</v>
      </c>
      <c r="E75" s="393">
        <v>1</v>
      </c>
      <c r="F75" s="393">
        <v>3.4</v>
      </c>
      <c r="G75" s="393"/>
      <c r="H75" s="393"/>
      <c r="I75" s="393">
        <v>1</v>
      </c>
      <c r="J75" s="393">
        <v>3.4</v>
      </c>
      <c r="K75" s="390"/>
      <c r="L75" s="390"/>
      <c r="M75" s="404"/>
      <c r="N75" s="396"/>
      <c r="O75" s="397"/>
    </row>
    <row r="76" spans="1:15" s="240" customFormat="1" ht="14.1" customHeight="1">
      <c r="A76" s="409">
        <v>65</v>
      </c>
      <c r="B76" s="410" t="s">
        <v>696</v>
      </c>
      <c r="C76" s="410" t="str">
        <f>[37]Лист1!B706</f>
        <v>Бойко Дмитро Анатолійович</v>
      </c>
      <c r="D76" s="390" t="s">
        <v>488</v>
      </c>
      <c r="E76" s="393">
        <v>1</v>
      </c>
      <c r="F76" s="393">
        <v>3.6</v>
      </c>
      <c r="G76" s="393"/>
      <c r="H76" s="393"/>
      <c r="I76" s="393">
        <v>1</v>
      </c>
      <c r="J76" s="393">
        <v>3.6</v>
      </c>
      <c r="K76" s="390"/>
      <c r="L76" s="390"/>
      <c r="M76" s="404"/>
      <c r="N76" s="396"/>
      <c r="O76" s="397"/>
    </row>
    <row r="77" spans="1:15" s="240" customFormat="1" ht="14.1" customHeight="1">
      <c r="A77" s="409">
        <v>66</v>
      </c>
      <c r="B77" s="410" t="s">
        <v>697</v>
      </c>
      <c r="C77" s="410" t="str">
        <f>[37]Лист1!B707</f>
        <v>Гуторка Лариса Василівна</v>
      </c>
      <c r="D77" s="390" t="s">
        <v>488</v>
      </c>
      <c r="E77" s="393">
        <v>1</v>
      </c>
      <c r="F77" s="393">
        <v>5.6</v>
      </c>
      <c r="G77" s="393">
        <v>1</v>
      </c>
      <c r="H77" s="393">
        <v>5.6</v>
      </c>
      <c r="I77" s="399"/>
      <c r="J77" s="399"/>
      <c r="K77" s="390"/>
      <c r="L77" s="390"/>
      <c r="M77" s="404"/>
      <c r="N77" s="393">
        <v>1</v>
      </c>
      <c r="O77" s="400">
        <v>5.6</v>
      </c>
    </row>
    <row r="78" spans="1:15" s="240" customFormat="1" ht="14.1" customHeight="1">
      <c r="A78" s="409">
        <v>67</v>
      </c>
      <c r="B78" s="410" t="s">
        <v>692</v>
      </c>
      <c r="C78" s="410" t="str">
        <f>[37]Лист1!B708</f>
        <v>Чипурна Тамара Василівна</v>
      </c>
      <c r="D78" s="390" t="s">
        <v>488</v>
      </c>
      <c r="E78" s="393">
        <v>1</v>
      </c>
      <c r="F78" s="393">
        <v>3.1</v>
      </c>
      <c r="G78" s="393"/>
      <c r="H78" s="393"/>
      <c r="I78" s="393">
        <v>1</v>
      </c>
      <c r="J78" s="393">
        <v>3.1</v>
      </c>
      <c r="K78" s="390"/>
      <c r="L78" s="390"/>
      <c r="M78" s="404"/>
      <c r="N78" s="396"/>
      <c r="O78" s="397"/>
    </row>
    <row r="79" spans="1:15" s="240" customFormat="1" ht="14.1" customHeight="1">
      <c r="A79" s="409">
        <v>68</v>
      </c>
      <c r="B79" s="410" t="s">
        <v>698</v>
      </c>
      <c r="C79" s="410" t="str">
        <f>[37]Лист1!B709</f>
        <v>Осадча Ніна Євгеніївна</v>
      </c>
      <c r="D79" s="390" t="s">
        <v>488</v>
      </c>
      <c r="E79" s="393">
        <v>1</v>
      </c>
      <c r="F79" s="393">
        <v>3.7</v>
      </c>
      <c r="G79" s="393"/>
      <c r="H79" s="393"/>
      <c r="I79" s="393">
        <v>1</v>
      </c>
      <c r="J79" s="393">
        <v>3.7</v>
      </c>
      <c r="K79" s="390"/>
      <c r="L79" s="390"/>
      <c r="M79" s="404"/>
      <c r="N79" s="396"/>
      <c r="O79" s="397"/>
    </row>
    <row r="80" spans="1:15" s="240" customFormat="1" ht="14.1" customHeight="1">
      <c r="A80" s="409">
        <v>69</v>
      </c>
      <c r="B80" s="410" t="s">
        <v>699</v>
      </c>
      <c r="C80" s="410" t="str">
        <f>[37]Лист1!B710</f>
        <v>Погоріла Ангеліна Миколаївна</v>
      </c>
      <c r="D80" s="390" t="s">
        <v>488</v>
      </c>
      <c r="E80" s="393">
        <v>1</v>
      </c>
      <c r="F80" s="393">
        <v>3</v>
      </c>
      <c r="G80" s="393"/>
      <c r="H80" s="393"/>
      <c r="I80" s="399"/>
      <c r="J80" s="399"/>
      <c r="K80" s="390"/>
      <c r="L80" s="390"/>
      <c r="M80" s="404"/>
      <c r="N80" s="393">
        <v>1</v>
      </c>
      <c r="O80" s="400">
        <v>3</v>
      </c>
    </row>
    <row r="81" spans="1:15" s="240" customFormat="1" ht="14.1" customHeight="1">
      <c r="A81" s="409">
        <v>70</v>
      </c>
      <c r="B81" s="410" t="s">
        <v>700</v>
      </c>
      <c r="C81" s="410" t="str">
        <f>[37]Лист1!B711</f>
        <v>Каленюк Юлія Валерівна</v>
      </c>
      <c r="D81" s="390" t="s">
        <v>488</v>
      </c>
      <c r="E81" s="393">
        <v>1</v>
      </c>
      <c r="F81" s="393">
        <v>3.5</v>
      </c>
      <c r="G81" s="393"/>
      <c r="H81" s="393"/>
      <c r="I81" s="393">
        <v>1</v>
      </c>
      <c r="J81" s="393">
        <v>3.5</v>
      </c>
      <c r="K81" s="390"/>
      <c r="L81" s="390"/>
      <c r="M81" s="404"/>
      <c r="N81" s="396"/>
      <c r="O81" s="397"/>
    </row>
    <row r="82" spans="1:15" s="240" customFormat="1" ht="14.1" customHeight="1">
      <c r="A82" s="409">
        <v>71</v>
      </c>
      <c r="B82" s="410" t="s">
        <v>701</v>
      </c>
      <c r="C82" s="410" t="str">
        <f>[37]Лист1!B712</f>
        <v>Боярська Ірина Анатоліївна</v>
      </c>
      <c r="D82" s="390" t="s">
        <v>488</v>
      </c>
      <c r="E82" s="393">
        <v>1</v>
      </c>
      <c r="F82" s="393">
        <v>2.9</v>
      </c>
      <c r="G82" s="393"/>
      <c r="H82" s="393"/>
      <c r="I82" s="393"/>
      <c r="J82" s="393"/>
      <c r="K82" s="390"/>
      <c r="L82" s="390"/>
      <c r="M82" s="404" t="s">
        <v>555</v>
      </c>
      <c r="N82" s="396"/>
      <c r="O82" s="397"/>
    </row>
    <row r="83" spans="1:15" s="240" customFormat="1" ht="14.1" customHeight="1">
      <c r="A83" s="409">
        <v>72</v>
      </c>
      <c r="B83" s="410" t="s">
        <v>702</v>
      </c>
      <c r="C83" s="410" t="str">
        <f>[37]Лист1!B714</f>
        <v>Калініна Марина Вікторівна</v>
      </c>
      <c r="D83" s="390" t="s">
        <v>488</v>
      </c>
      <c r="E83" s="393">
        <v>1</v>
      </c>
      <c r="F83" s="393">
        <v>4.7</v>
      </c>
      <c r="G83" s="393">
        <v>1</v>
      </c>
      <c r="H83" s="393">
        <v>4.7</v>
      </c>
      <c r="I83" s="399"/>
      <c r="J83" s="399"/>
      <c r="K83" s="390"/>
      <c r="L83" s="390"/>
      <c r="M83" s="404"/>
      <c r="N83" s="393">
        <v>1</v>
      </c>
      <c r="O83" s="400">
        <v>4.7</v>
      </c>
    </row>
    <row r="84" spans="1:15" s="240" customFormat="1" ht="14.1" customHeight="1">
      <c r="A84" s="409">
        <v>73</v>
      </c>
      <c r="B84" s="410" t="s">
        <v>703</v>
      </c>
      <c r="C84" s="410" t="str">
        <f>[37]Лист1!B715</f>
        <v>Чернов Віталій Олександрович</v>
      </c>
      <c r="D84" s="390" t="s">
        <v>488</v>
      </c>
      <c r="E84" s="393">
        <v>1</v>
      </c>
      <c r="F84" s="393">
        <v>3</v>
      </c>
      <c r="G84" s="393">
        <v>1</v>
      </c>
      <c r="H84" s="393">
        <v>3</v>
      </c>
      <c r="I84" s="399"/>
      <c r="J84" s="399"/>
      <c r="K84" s="390"/>
      <c r="L84" s="390"/>
      <c r="M84" s="404"/>
      <c r="N84" s="393">
        <v>1</v>
      </c>
      <c r="O84" s="400">
        <v>3</v>
      </c>
    </row>
    <row r="85" spans="1:15" s="240" customFormat="1" ht="14.1" customHeight="1">
      <c r="A85" s="409">
        <v>74</v>
      </c>
      <c r="B85" s="410" t="s">
        <v>704</v>
      </c>
      <c r="C85" s="410" t="str">
        <f>[37]Лист1!B716</f>
        <v>Харкавенко Оксана Анатоліївна</v>
      </c>
      <c r="D85" s="390" t="s">
        <v>488</v>
      </c>
      <c r="E85" s="393">
        <v>1</v>
      </c>
      <c r="F85" s="393">
        <v>3.3</v>
      </c>
      <c r="G85" s="393"/>
      <c r="H85" s="393"/>
      <c r="I85" s="399"/>
      <c r="J85" s="399"/>
      <c r="K85" s="390"/>
      <c r="L85" s="390"/>
      <c r="M85" s="404"/>
      <c r="N85" s="393">
        <v>1</v>
      </c>
      <c r="O85" s="400">
        <v>3.3</v>
      </c>
    </row>
    <row r="86" spans="1:15" s="240" customFormat="1" ht="14.1" customHeight="1">
      <c r="A86" s="409">
        <v>75</v>
      </c>
      <c r="B86" s="410" t="s">
        <v>705</v>
      </c>
      <c r="C86" s="410" t="str">
        <f>[37]Лист1!B717</f>
        <v>Хобот Олександр Олександрович</v>
      </c>
      <c r="D86" s="390" t="s">
        <v>488</v>
      </c>
      <c r="E86" s="393">
        <v>1</v>
      </c>
      <c r="F86" s="393">
        <v>4.2</v>
      </c>
      <c r="G86" s="393"/>
      <c r="H86" s="393"/>
      <c r="I86" s="399"/>
      <c r="J86" s="399"/>
      <c r="K86" s="390"/>
      <c r="L86" s="390"/>
      <c r="M86" s="404"/>
      <c r="N86" s="393">
        <v>1</v>
      </c>
      <c r="O86" s="400">
        <v>4.2</v>
      </c>
    </row>
    <row r="87" spans="1:15" s="240" customFormat="1" ht="14.1" customHeight="1">
      <c r="A87" s="409">
        <v>76</v>
      </c>
      <c r="B87" s="410" t="s">
        <v>706</v>
      </c>
      <c r="C87" s="410" t="str">
        <f>[37]Лист1!B718</f>
        <v>Гологудіна Наталія Вікторівна</v>
      </c>
      <c r="D87" s="390" t="s">
        <v>488</v>
      </c>
      <c r="E87" s="393">
        <v>1</v>
      </c>
      <c r="F87" s="393">
        <v>4.7</v>
      </c>
      <c r="G87" s="393">
        <v>1</v>
      </c>
      <c r="H87" s="393">
        <v>4.7</v>
      </c>
      <c r="I87" s="399"/>
      <c r="J87" s="399"/>
      <c r="K87" s="390"/>
      <c r="L87" s="390"/>
      <c r="M87" s="404"/>
      <c r="N87" s="393">
        <v>1</v>
      </c>
      <c r="O87" s="400">
        <v>4.7</v>
      </c>
    </row>
    <row r="88" spans="1:15" s="240" customFormat="1" ht="14.1" customHeight="1">
      <c r="A88" s="409">
        <v>77</v>
      </c>
      <c r="B88" s="410" t="s">
        <v>707</v>
      </c>
      <c r="C88" s="410" t="str">
        <f>[37]Лист1!B719</f>
        <v>Степанова Ірина Олексіївна</v>
      </c>
      <c r="D88" s="390" t="s">
        <v>488</v>
      </c>
      <c r="E88" s="393">
        <v>1</v>
      </c>
      <c r="F88" s="393">
        <v>4</v>
      </c>
      <c r="G88" s="393"/>
      <c r="H88" s="393"/>
      <c r="I88" s="393">
        <v>1</v>
      </c>
      <c r="J88" s="393">
        <v>4</v>
      </c>
      <c r="K88" s="390"/>
      <c r="L88" s="390"/>
      <c r="M88" s="404"/>
      <c r="N88" s="396"/>
      <c r="O88" s="397"/>
    </row>
    <row r="89" spans="1:15" s="240" customFormat="1" ht="14.1" customHeight="1">
      <c r="A89" s="409">
        <v>78</v>
      </c>
      <c r="B89" s="410" t="s">
        <v>708</v>
      </c>
      <c r="C89" s="410" t="str">
        <f>[37]Лист1!B720</f>
        <v>Вусик Наталія Володимирівна</v>
      </c>
      <c r="D89" s="390" t="s">
        <v>488</v>
      </c>
      <c r="E89" s="393">
        <v>1</v>
      </c>
      <c r="F89" s="393">
        <v>2.1</v>
      </c>
      <c r="G89" s="393"/>
      <c r="H89" s="393"/>
      <c r="I89" s="399"/>
      <c r="J89" s="399"/>
      <c r="K89" s="390"/>
      <c r="L89" s="390"/>
      <c r="M89" s="404"/>
      <c r="N89" s="393">
        <v>1</v>
      </c>
      <c r="O89" s="400">
        <v>2.1</v>
      </c>
    </row>
    <row r="90" spans="1:15" s="240" customFormat="1" ht="14.1" customHeight="1">
      <c r="A90" s="409">
        <v>79</v>
      </c>
      <c r="B90" s="410" t="s">
        <v>709</v>
      </c>
      <c r="C90" s="410" t="str">
        <f>[37]Лист1!B722</f>
        <v>Бучек Світлана Федорівна</v>
      </c>
      <c r="D90" s="390" t="s">
        <v>488</v>
      </c>
      <c r="E90" s="393">
        <v>1</v>
      </c>
      <c r="F90" s="393">
        <v>2</v>
      </c>
      <c r="G90" s="393">
        <v>1</v>
      </c>
      <c r="H90" s="393">
        <v>2</v>
      </c>
      <c r="I90" s="399"/>
      <c r="J90" s="399"/>
      <c r="K90" s="390"/>
      <c r="L90" s="390"/>
      <c r="M90" s="404"/>
      <c r="N90" s="393">
        <v>1</v>
      </c>
      <c r="O90" s="400">
        <v>2</v>
      </c>
    </row>
    <row r="91" spans="1:15" s="240" customFormat="1" ht="14.1" customHeight="1">
      <c r="A91" s="409">
        <v>80</v>
      </c>
      <c r="B91" s="410" t="s">
        <v>710</v>
      </c>
      <c r="C91" s="410" t="str">
        <f>[37]Лист1!B723</f>
        <v>Євсєєва Любов Анатоліївна</v>
      </c>
      <c r="D91" s="390" t="s">
        <v>488</v>
      </c>
      <c r="E91" s="393">
        <v>1</v>
      </c>
      <c r="F91" s="393">
        <v>25.5</v>
      </c>
      <c r="G91" s="393"/>
      <c r="H91" s="393"/>
      <c r="I91" s="393">
        <v>1</v>
      </c>
      <c r="J91" s="393">
        <v>25.5</v>
      </c>
      <c r="K91" s="390"/>
      <c r="L91" s="390"/>
      <c r="M91" s="404" t="s">
        <v>644</v>
      </c>
      <c r="N91" s="396"/>
      <c r="O91" s="396"/>
    </row>
    <row r="92" spans="1:15" s="240" customFormat="1" ht="14.1" customHeight="1">
      <c r="A92" s="409">
        <v>81</v>
      </c>
      <c r="B92" s="410" t="s">
        <v>729</v>
      </c>
      <c r="C92" s="410" t="str">
        <f>[37]Лист1!B724</f>
        <v>Мережнюк Вадим Анатолійович</v>
      </c>
      <c r="D92" s="390" t="s">
        <v>488</v>
      </c>
      <c r="E92" s="393">
        <v>1</v>
      </c>
      <c r="F92" s="393">
        <v>3.8</v>
      </c>
      <c r="G92" s="393"/>
      <c r="H92" s="393"/>
      <c r="I92" s="399"/>
      <c r="J92" s="399"/>
      <c r="K92" s="390"/>
      <c r="L92" s="390"/>
      <c r="M92" s="404"/>
      <c r="N92" s="393">
        <v>1</v>
      </c>
      <c r="O92" s="400">
        <v>3.8</v>
      </c>
    </row>
    <row r="93" spans="1:15" s="240" customFormat="1" ht="14.1" customHeight="1">
      <c r="A93" s="409">
        <v>82</v>
      </c>
      <c r="B93" s="410" t="s">
        <v>711</v>
      </c>
      <c r="C93" s="410" t="str">
        <f>[37]Лист1!B725</f>
        <v>Сидоренко Олена Леонідівна</v>
      </c>
      <c r="D93" s="390" t="s">
        <v>488</v>
      </c>
      <c r="E93" s="393">
        <v>1</v>
      </c>
      <c r="F93" s="393">
        <v>4.5</v>
      </c>
      <c r="G93" s="393">
        <v>1</v>
      </c>
      <c r="H93" s="393">
        <v>4.5</v>
      </c>
      <c r="I93" s="399"/>
      <c r="J93" s="399"/>
      <c r="K93" s="390"/>
      <c r="L93" s="390"/>
      <c r="M93" s="404"/>
      <c r="N93" s="393">
        <v>1</v>
      </c>
      <c r="O93" s="400">
        <v>4.5</v>
      </c>
    </row>
    <row r="94" spans="1:15" s="240" customFormat="1" ht="14.1" customHeight="1">
      <c r="A94" s="409">
        <v>83</v>
      </c>
      <c r="B94" s="410" t="s">
        <v>712</v>
      </c>
      <c r="C94" s="410" t="str">
        <f>[37]Лист1!B726</f>
        <v>Черненко Олена Володимирівна</v>
      </c>
      <c r="D94" s="390" t="s">
        <v>488</v>
      </c>
      <c r="E94" s="393">
        <v>1</v>
      </c>
      <c r="F94" s="393">
        <v>4.3</v>
      </c>
      <c r="G94" s="393"/>
      <c r="H94" s="393"/>
      <c r="I94" s="393">
        <v>1</v>
      </c>
      <c r="J94" s="393">
        <v>4.3</v>
      </c>
      <c r="K94" s="390"/>
      <c r="L94" s="390"/>
      <c r="M94" s="404"/>
      <c r="N94" s="396"/>
      <c r="O94" s="397"/>
    </row>
    <row r="95" spans="1:15" s="240" customFormat="1" ht="14.1" customHeight="1">
      <c r="A95" s="409">
        <v>84</v>
      </c>
      <c r="B95" s="410" t="s">
        <v>713</v>
      </c>
      <c r="C95" s="410" t="str">
        <f>[37]Лист1!B727</f>
        <v>Гончарова Зоя Андріївна</v>
      </c>
      <c r="D95" s="390" t="s">
        <v>488</v>
      </c>
      <c r="E95" s="393">
        <v>1</v>
      </c>
      <c r="F95" s="393">
        <v>9.5</v>
      </c>
      <c r="G95" s="393">
        <v>1</v>
      </c>
      <c r="H95" s="393">
        <v>9.5</v>
      </c>
      <c r="I95" s="399"/>
      <c r="J95" s="399"/>
      <c r="K95" s="390"/>
      <c r="L95" s="390"/>
      <c r="M95" s="404"/>
      <c r="N95" s="393">
        <v>1</v>
      </c>
      <c r="O95" s="400">
        <v>9.5</v>
      </c>
    </row>
    <row r="96" spans="1:15" s="240" customFormat="1" ht="14.1" customHeight="1">
      <c r="A96" s="409">
        <v>85</v>
      </c>
      <c r="B96" s="410" t="s">
        <v>714</v>
      </c>
      <c r="C96" s="410" t="str">
        <f>[37]Лист1!B728</f>
        <v>Карпенко Наталія Сергіївна</v>
      </c>
      <c r="D96" s="390" t="s">
        <v>488</v>
      </c>
      <c r="E96" s="393">
        <v>1</v>
      </c>
      <c r="F96" s="393">
        <v>2.2999999999999998</v>
      </c>
      <c r="G96" s="393"/>
      <c r="H96" s="393"/>
      <c r="I96" s="399"/>
      <c r="J96" s="399"/>
      <c r="K96" s="390"/>
      <c r="L96" s="390"/>
      <c r="M96" s="404"/>
      <c r="N96" s="393">
        <v>1</v>
      </c>
      <c r="O96" s="400">
        <v>2.2999999999999998</v>
      </c>
    </row>
    <row r="97" spans="1:15" s="240" customFormat="1" ht="14.1" customHeight="1">
      <c r="A97" s="409">
        <v>86</v>
      </c>
      <c r="B97" s="410" t="s">
        <v>730</v>
      </c>
      <c r="C97" s="410" t="str">
        <f>[37]Лист1!B729</f>
        <v>Чумак Аліна Павлівна</v>
      </c>
      <c r="D97" s="390" t="s">
        <v>488</v>
      </c>
      <c r="E97" s="393">
        <v>1</v>
      </c>
      <c r="F97" s="393">
        <v>2.6</v>
      </c>
      <c r="G97" s="393"/>
      <c r="H97" s="393"/>
      <c r="I97" s="393">
        <v>1</v>
      </c>
      <c r="J97" s="393">
        <v>2.6</v>
      </c>
      <c r="K97" s="390"/>
      <c r="L97" s="390"/>
      <c r="M97" s="404"/>
      <c r="N97" s="396"/>
      <c r="O97" s="397"/>
    </row>
    <row r="98" spans="1:15" s="240" customFormat="1" ht="14.1" customHeight="1">
      <c r="A98" s="409">
        <v>87</v>
      </c>
      <c r="B98" s="410" t="s">
        <v>731</v>
      </c>
      <c r="C98" s="410" t="str">
        <f>[37]Лист1!B730</f>
        <v>Мельниченко Вячеслав Миколайович</v>
      </c>
      <c r="D98" s="390" t="s">
        <v>488</v>
      </c>
      <c r="E98" s="393">
        <v>1</v>
      </c>
      <c r="F98" s="393">
        <v>2.7</v>
      </c>
      <c r="G98" s="393"/>
      <c r="H98" s="393"/>
      <c r="I98" s="393">
        <v>1</v>
      </c>
      <c r="J98" s="393">
        <v>2.7</v>
      </c>
      <c r="K98" s="390"/>
      <c r="L98" s="390"/>
      <c r="M98" s="404"/>
      <c r="N98" s="396"/>
      <c r="O98" s="397"/>
    </row>
    <row r="99" spans="1:15" s="240" customFormat="1" ht="14.1" customHeight="1">
      <c r="A99" s="409">
        <v>88</v>
      </c>
      <c r="B99" s="410" t="s">
        <v>732</v>
      </c>
      <c r="C99" s="410" t="str">
        <f>[37]Лист1!B731</f>
        <v>Решетнік Валентина Миколаївна</v>
      </c>
      <c r="D99" s="390" t="s">
        <v>488</v>
      </c>
      <c r="E99" s="393">
        <v>1</v>
      </c>
      <c r="F99" s="393">
        <v>2.6</v>
      </c>
      <c r="G99" s="393"/>
      <c r="H99" s="393"/>
      <c r="I99" s="393">
        <v>1</v>
      </c>
      <c r="J99" s="393">
        <v>2.6</v>
      </c>
      <c r="K99" s="390"/>
      <c r="L99" s="390"/>
      <c r="M99" s="404"/>
      <c r="N99" s="396"/>
      <c r="O99" s="397"/>
    </row>
    <row r="100" spans="1:15" s="240" customFormat="1" ht="14.1" customHeight="1">
      <c r="A100" s="409">
        <v>89</v>
      </c>
      <c r="B100" s="410" t="s">
        <v>733</v>
      </c>
      <c r="C100" s="410" t="str">
        <f>[37]Лист1!B732</f>
        <v>Чернікова Людмила Яківна</v>
      </c>
      <c r="D100" s="390" t="s">
        <v>488</v>
      </c>
      <c r="E100" s="393">
        <v>1</v>
      </c>
      <c r="F100" s="393">
        <v>3.3</v>
      </c>
      <c r="G100" s="393"/>
      <c r="H100" s="393"/>
      <c r="I100" s="393">
        <v>1</v>
      </c>
      <c r="J100" s="393">
        <v>3.3</v>
      </c>
      <c r="K100" s="390"/>
      <c r="L100" s="390"/>
      <c r="M100" s="404"/>
      <c r="N100" s="396"/>
      <c r="O100" s="397"/>
    </row>
    <row r="101" spans="1:15" s="240" customFormat="1" ht="14.1" customHeight="1">
      <c r="A101" s="409">
        <v>90</v>
      </c>
      <c r="B101" s="410" t="s">
        <v>734</v>
      </c>
      <c r="C101" s="410" t="str">
        <f>[37]Лист1!B733</f>
        <v>Павлуша Тетяна Олександрівна</v>
      </c>
      <c r="D101" s="390" t="s">
        <v>488</v>
      </c>
      <c r="E101" s="393">
        <v>1</v>
      </c>
      <c r="F101" s="393">
        <v>2.8</v>
      </c>
      <c r="G101" s="393"/>
      <c r="H101" s="393"/>
      <c r="I101" s="393">
        <v>1</v>
      </c>
      <c r="J101" s="393">
        <v>2.8</v>
      </c>
      <c r="K101" s="390"/>
      <c r="L101" s="390"/>
      <c r="M101" s="404"/>
      <c r="N101" s="396"/>
      <c r="O101" s="397"/>
    </row>
    <row r="102" spans="1:15" s="240" customFormat="1" ht="14.1" customHeight="1">
      <c r="A102" s="409">
        <v>91</v>
      </c>
      <c r="B102" s="410" t="s">
        <v>735</v>
      </c>
      <c r="C102" s="410" t="str">
        <f>[37]Лист1!B734</f>
        <v>Потіха Микола Васильович</v>
      </c>
      <c r="D102" s="390" t="s">
        <v>488</v>
      </c>
      <c r="E102" s="393">
        <v>1</v>
      </c>
      <c r="F102" s="393">
        <v>4.5999999999999996</v>
      </c>
      <c r="G102" s="393"/>
      <c r="H102" s="393"/>
      <c r="I102" s="393">
        <v>1</v>
      </c>
      <c r="J102" s="393">
        <v>4.5999999999999996</v>
      </c>
      <c r="K102" s="390"/>
      <c r="L102" s="390"/>
      <c r="M102" s="404"/>
      <c r="N102" s="396"/>
      <c r="O102" s="397"/>
    </row>
    <row r="103" spans="1:15" s="240" customFormat="1" ht="14.1" customHeight="1">
      <c r="A103" s="409">
        <v>92</v>
      </c>
      <c r="B103" s="410" t="s">
        <v>736</v>
      </c>
      <c r="C103" s="410" t="str">
        <f>[37]Лист1!B735</f>
        <v>Темченко Валентина Мойсеївна</v>
      </c>
      <c r="D103" s="390" t="s">
        <v>488</v>
      </c>
      <c r="E103" s="393">
        <v>1</v>
      </c>
      <c r="F103" s="393">
        <v>6.3</v>
      </c>
      <c r="G103" s="393"/>
      <c r="H103" s="393"/>
      <c r="I103" s="393">
        <v>1</v>
      </c>
      <c r="J103" s="393">
        <v>6.3</v>
      </c>
      <c r="K103" s="390"/>
      <c r="L103" s="390"/>
      <c r="M103" s="404"/>
      <c r="N103" s="396"/>
      <c r="O103" s="397"/>
    </row>
    <row r="104" spans="1:15" s="240" customFormat="1" ht="14.1" customHeight="1">
      <c r="A104" s="409">
        <v>93</v>
      </c>
      <c r="B104" s="410" t="s">
        <v>737</v>
      </c>
      <c r="C104" s="410" t="str">
        <f>[37]Лист1!B736</f>
        <v>Сіракова Марина Олександрівна</v>
      </c>
      <c r="D104" s="390" t="s">
        <v>488</v>
      </c>
      <c r="E104" s="393">
        <v>1</v>
      </c>
      <c r="F104" s="393">
        <v>11</v>
      </c>
      <c r="G104" s="393"/>
      <c r="H104" s="393"/>
      <c r="I104" s="393">
        <v>1</v>
      </c>
      <c r="J104" s="393">
        <v>11</v>
      </c>
      <c r="K104" s="390"/>
      <c r="L104" s="390"/>
      <c r="M104" s="404"/>
      <c r="N104" s="396"/>
      <c r="O104" s="397"/>
    </row>
    <row r="105" spans="1:15" s="240" customFormat="1" ht="14.1" customHeight="1">
      <c r="A105" s="409">
        <v>94</v>
      </c>
      <c r="B105" s="410" t="s">
        <v>738</v>
      </c>
      <c r="C105" s="410" t="str">
        <f>[37]Лист1!B737</f>
        <v>Фастовець Василь Миколайович</v>
      </c>
      <c r="D105" s="390" t="s">
        <v>488</v>
      </c>
      <c r="E105" s="393">
        <v>1</v>
      </c>
      <c r="F105" s="393">
        <v>4.2</v>
      </c>
      <c r="G105" s="393"/>
      <c r="H105" s="393"/>
      <c r="I105" s="393">
        <v>1</v>
      </c>
      <c r="J105" s="393">
        <v>4.2</v>
      </c>
      <c r="K105" s="390"/>
      <c r="L105" s="390"/>
      <c r="M105" s="404"/>
      <c r="N105" s="396"/>
      <c r="O105" s="397"/>
    </row>
    <row r="106" spans="1:15" s="240" customFormat="1" ht="14.1" customHeight="1">
      <c r="A106" s="409">
        <v>95</v>
      </c>
      <c r="B106" s="410" t="s">
        <v>739</v>
      </c>
      <c r="C106" s="410" t="str">
        <f>[37]Лист1!B738</f>
        <v>Шабельна Ганна Федорівна</v>
      </c>
      <c r="D106" s="390" t="s">
        <v>488</v>
      </c>
      <c r="E106" s="393">
        <v>1</v>
      </c>
      <c r="F106" s="393">
        <v>3.9</v>
      </c>
      <c r="G106" s="393"/>
      <c r="H106" s="393"/>
      <c r="I106" s="393">
        <v>1</v>
      </c>
      <c r="J106" s="393">
        <v>3.9</v>
      </c>
      <c r="K106" s="390"/>
      <c r="L106" s="390"/>
      <c r="M106" s="404"/>
      <c r="N106" s="396"/>
      <c r="O106" s="397"/>
    </row>
    <row r="107" spans="1:15" s="240" customFormat="1" ht="14.1" customHeight="1">
      <c r="A107" s="409">
        <v>96</v>
      </c>
      <c r="B107" s="410" t="s">
        <v>740</v>
      </c>
      <c r="C107" s="410" t="str">
        <f>[37]Лист1!B739</f>
        <v>Оверченко Наталія Михайлівна</v>
      </c>
      <c r="D107" s="390" t="s">
        <v>488</v>
      </c>
      <c r="E107" s="393">
        <v>1</v>
      </c>
      <c r="F107" s="393">
        <v>5.3</v>
      </c>
      <c r="G107" s="393"/>
      <c r="H107" s="393"/>
      <c r="I107" s="393">
        <v>1</v>
      </c>
      <c r="J107" s="393">
        <v>5.3</v>
      </c>
      <c r="K107" s="390"/>
      <c r="L107" s="390"/>
      <c r="M107" s="404"/>
      <c r="N107" s="396"/>
      <c r="O107" s="397"/>
    </row>
    <row r="108" spans="1:15" s="240" customFormat="1" ht="14.1" customHeight="1">
      <c r="A108" s="409">
        <v>97</v>
      </c>
      <c r="B108" s="410" t="s">
        <v>741</v>
      </c>
      <c r="C108" s="410" t="str">
        <f>[37]Лист1!B740</f>
        <v>Шуляк Олена Іванівна</v>
      </c>
      <c r="D108" s="390" t="s">
        <v>488</v>
      </c>
      <c r="E108" s="393">
        <v>1</v>
      </c>
      <c r="F108" s="393">
        <v>8.8000000000000007</v>
      </c>
      <c r="G108" s="393"/>
      <c r="H108" s="393"/>
      <c r="I108" s="399"/>
      <c r="J108" s="399"/>
      <c r="K108" s="390"/>
      <c r="L108" s="390"/>
      <c r="M108" s="404"/>
      <c r="N108" s="393">
        <v>1</v>
      </c>
      <c r="O108" s="400">
        <v>8.8000000000000007</v>
      </c>
    </row>
    <row r="109" spans="1:15" s="240" customFormat="1" ht="14.1" customHeight="1">
      <c r="A109" s="409">
        <v>98</v>
      </c>
      <c r="B109" s="410" t="s">
        <v>742</v>
      </c>
      <c r="C109" s="410" t="str">
        <f>[37]Лист1!B741</f>
        <v>Попченко Світлана Миколаївна</v>
      </c>
      <c r="D109" s="390" t="s">
        <v>488</v>
      </c>
      <c r="E109" s="393">
        <v>1</v>
      </c>
      <c r="F109" s="393">
        <v>4.9000000000000004</v>
      </c>
      <c r="G109" s="393"/>
      <c r="H109" s="393"/>
      <c r="I109" s="399"/>
      <c r="J109" s="399"/>
      <c r="K109" s="390"/>
      <c r="L109" s="390"/>
      <c r="M109" s="404"/>
      <c r="N109" s="393">
        <v>1</v>
      </c>
      <c r="O109" s="400">
        <v>4.9000000000000004</v>
      </c>
    </row>
    <row r="110" spans="1:15" s="240" customFormat="1" ht="14.1" customHeight="1">
      <c r="A110" s="409">
        <v>99</v>
      </c>
      <c r="B110" s="410" t="s">
        <v>743</v>
      </c>
      <c r="C110" s="410" t="str">
        <f>[37]Лист1!B742</f>
        <v>Черепанова Людмила Василівна</v>
      </c>
      <c r="D110" s="390" t="s">
        <v>488</v>
      </c>
      <c r="E110" s="393">
        <v>1</v>
      </c>
      <c r="F110" s="393">
        <v>2.2999999999999998</v>
      </c>
      <c r="G110" s="393"/>
      <c r="H110" s="393"/>
      <c r="I110" s="393">
        <v>1</v>
      </c>
      <c r="J110" s="393">
        <v>2.2999999999999998</v>
      </c>
      <c r="K110" s="390"/>
      <c r="L110" s="390"/>
      <c r="M110" s="404"/>
      <c r="N110" s="396"/>
      <c r="O110" s="397"/>
    </row>
    <row r="111" spans="1:15" s="240" customFormat="1" ht="14.1" customHeight="1">
      <c r="A111" s="409">
        <v>100</v>
      </c>
      <c r="B111" s="410" t="s">
        <v>744</v>
      </c>
      <c r="C111" s="410" t="str">
        <f>[37]Лист1!B743</f>
        <v>Сівченко Віктор Миколайович</v>
      </c>
      <c r="D111" s="390" t="s">
        <v>488</v>
      </c>
      <c r="E111" s="393">
        <v>1</v>
      </c>
      <c r="F111" s="393">
        <v>12.4</v>
      </c>
      <c r="G111" s="393"/>
      <c r="H111" s="393"/>
      <c r="I111" s="393"/>
      <c r="J111" s="393"/>
      <c r="K111" s="390"/>
      <c r="L111" s="390"/>
      <c r="M111" s="404" t="s">
        <v>644</v>
      </c>
      <c r="N111" s="396"/>
      <c r="O111" s="397"/>
    </row>
    <row r="112" spans="1:15" s="240" customFormat="1" ht="14.1" customHeight="1">
      <c r="A112" s="409">
        <v>101</v>
      </c>
      <c r="B112" s="410" t="s">
        <v>745</v>
      </c>
      <c r="C112" s="410" t="str">
        <f>[37]Лист1!B744</f>
        <v>Петровська Наталія Олександрівна</v>
      </c>
      <c r="D112" s="390" t="s">
        <v>488</v>
      </c>
      <c r="E112" s="393">
        <v>1</v>
      </c>
      <c r="F112" s="393">
        <v>3.8</v>
      </c>
      <c r="G112" s="393"/>
      <c r="H112" s="393"/>
      <c r="I112" s="393">
        <v>1</v>
      </c>
      <c r="J112" s="393">
        <v>3.8</v>
      </c>
      <c r="K112" s="390"/>
      <c r="L112" s="390"/>
      <c r="M112" s="404"/>
      <c r="N112" s="396"/>
      <c r="O112" s="397"/>
    </row>
    <row r="113" spans="1:15" s="240" customFormat="1" ht="14.1" customHeight="1">
      <c r="A113" s="409">
        <v>102</v>
      </c>
      <c r="B113" s="410" t="s">
        <v>746</v>
      </c>
      <c r="C113" s="410" t="str">
        <f>[37]Лист1!B745</f>
        <v>Хамова Галина Вікторівна</v>
      </c>
      <c r="D113" s="390" t="s">
        <v>488</v>
      </c>
      <c r="E113" s="393">
        <v>1</v>
      </c>
      <c r="F113" s="393">
        <v>3.3</v>
      </c>
      <c r="G113" s="393"/>
      <c r="H113" s="393"/>
      <c r="I113" s="399"/>
      <c r="J113" s="399"/>
      <c r="K113" s="390"/>
      <c r="L113" s="390"/>
      <c r="M113" s="404"/>
      <c r="N113" s="393">
        <v>1</v>
      </c>
      <c r="O113" s="400">
        <v>3.3</v>
      </c>
    </row>
    <row r="114" spans="1:15" s="240" customFormat="1" ht="14.1" customHeight="1">
      <c r="A114" s="409">
        <v>103</v>
      </c>
      <c r="B114" s="410" t="s">
        <v>747</v>
      </c>
      <c r="C114" s="391" t="s">
        <v>748</v>
      </c>
      <c r="D114" s="390" t="s">
        <v>488</v>
      </c>
      <c r="E114" s="393">
        <v>1</v>
      </c>
      <c r="F114" s="393">
        <v>8.1</v>
      </c>
      <c r="G114" s="393"/>
      <c r="H114" s="393"/>
      <c r="I114" s="393">
        <v>1</v>
      </c>
      <c r="J114" s="393">
        <v>8.1</v>
      </c>
      <c r="K114" s="390"/>
      <c r="L114" s="390"/>
      <c r="M114" s="404"/>
      <c r="N114" s="396"/>
      <c r="O114" s="397"/>
    </row>
    <row r="115" spans="1:15" s="240" customFormat="1" ht="14.1" customHeight="1">
      <c r="A115" s="409">
        <v>104</v>
      </c>
      <c r="B115" s="410" t="s">
        <v>749</v>
      </c>
      <c r="C115" s="391" t="s">
        <v>750</v>
      </c>
      <c r="D115" s="390" t="s">
        <v>488</v>
      </c>
      <c r="E115" s="393">
        <v>1</v>
      </c>
      <c r="F115" s="393">
        <v>9.4</v>
      </c>
      <c r="G115" s="393"/>
      <c r="H115" s="393"/>
      <c r="I115" s="393">
        <v>1</v>
      </c>
      <c r="J115" s="393">
        <v>9.4</v>
      </c>
      <c r="K115" s="390"/>
      <c r="L115" s="390"/>
      <c r="M115" s="404"/>
      <c r="N115" s="396"/>
      <c r="O115" s="397"/>
    </row>
    <row r="116" spans="1:15" s="240" customFormat="1" ht="14.1" customHeight="1">
      <c r="A116" s="409">
        <v>105</v>
      </c>
      <c r="B116" s="410" t="s">
        <v>751</v>
      </c>
      <c r="C116" s="391" t="s">
        <v>752</v>
      </c>
      <c r="D116" s="390" t="s">
        <v>488</v>
      </c>
      <c r="E116" s="393">
        <v>1</v>
      </c>
      <c r="F116" s="393">
        <v>2.2000000000000002</v>
      </c>
      <c r="G116" s="393"/>
      <c r="H116" s="393"/>
      <c r="I116" s="393">
        <v>1</v>
      </c>
      <c r="J116" s="393">
        <v>2.2000000000000002</v>
      </c>
      <c r="K116" s="390"/>
      <c r="L116" s="390"/>
      <c r="M116" s="404"/>
      <c r="N116" s="396"/>
      <c r="O116" s="397"/>
    </row>
    <row r="117" spans="1:15" s="240" customFormat="1" ht="14.1" customHeight="1">
      <c r="A117" s="409">
        <v>106</v>
      </c>
      <c r="B117" s="410" t="s">
        <v>753</v>
      </c>
      <c r="C117" s="391" t="s">
        <v>754</v>
      </c>
      <c r="D117" s="390" t="s">
        <v>488</v>
      </c>
      <c r="E117" s="393">
        <v>1</v>
      </c>
      <c r="F117" s="393">
        <v>2.4</v>
      </c>
      <c r="G117" s="393"/>
      <c r="H117" s="393"/>
      <c r="I117" s="393">
        <v>1</v>
      </c>
      <c r="J117" s="393">
        <v>2.4</v>
      </c>
      <c r="K117" s="390"/>
      <c r="L117" s="390"/>
      <c r="M117" s="404"/>
      <c r="N117" s="396"/>
      <c r="O117" s="397"/>
    </row>
    <row r="118" spans="1:15" s="240" customFormat="1" ht="14.1" customHeight="1">
      <c r="A118" s="409">
        <v>107</v>
      </c>
      <c r="B118" s="410" t="s">
        <v>755</v>
      </c>
      <c r="C118" s="391" t="s">
        <v>756</v>
      </c>
      <c r="D118" s="390" t="s">
        <v>488</v>
      </c>
      <c r="E118" s="393">
        <v>1</v>
      </c>
      <c r="F118" s="393">
        <v>2</v>
      </c>
      <c r="G118" s="393"/>
      <c r="H118" s="393"/>
      <c r="I118" s="393">
        <v>1</v>
      </c>
      <c r="J118" s="393">
        <v>2</v>
      </c>
      <c r="K118" s="390"/>
      <c r="L118" s="390"/>
      <c r="M118" s="404"/>
      <c r="N118" s="396"/>
      <c r="O118" s="397"/>
    </row>
    <row r="119" spans="1:15" s="240" customFormat="1" ht="14.1" customHeight="1">
      <c r="A119" s="409">
        <v>108</v>
      </c>
      <c r="B119" s="410" t="s">
        <v>757</v>
      </c>
      <c r="C119" s="391" t="s">
        <v>758</v>
      </c>
      <c r="D119" s="390" t="s">
        <v>488</v>
      </c>
      <c r="E119" s="393">
        <v>1</v>
      </c>
      <c r="F119" s="393">
        <v>3.8</v>
      </c>
      <c r="G119" s="393"/>
      <c r="H119" s="393"/>
      <c r="I119" s="393">
        <v>1</v>
      </c>
      <c r="J119" s="393">
        <v>3.8</v>
      </c>
      <c r="K119" s="390"/>
      <c r="L119" s="390"/>
      <c r="M119" s="404"/>
      <c r="N119" s="396"/>
      <c r="O119" s="397"/>
    </row>
    <row r="120" spans="1:15" s="240" customFormat="1" ht="14.1" customHeight="1">
      <c r="A120" s="409">
        <v>109</v>
      </c>
      <c r="B120" s="410" t="s">
        <v>759</v>
      </c>
      <c r="C120" s="391" t="s">
        <v>760</v>
      </c>
      <c r="D120" s="390" t="s">
        <v>488</v>
      </c>
      <c r="E120" s="393">
        <v>1</v>
      </c>
      <c r="F120" s="393">
        <v>6.9</v>
      </c>
      <c r="G120" s="393"/>
      <c r="H120" s="393"/>
      <c r="I120" s="393">
        <v>1</v>
      </c>
      <c r="J120" s="393">
        <v>6.9</v>
      </c>
      <c r="K120" s="390"/>
      <c r="L120" s="390"/>
      <c r="M120" s="404"/>
      <c r="N120" s="396"/>
      <c r="O120" s="397"/>
    </row>
    <row r="121" spans="1:15" s="240" customFormat="1" ht="14.1" customHeight="1">
      <c r="A121" s="409">
        <v>110</v>
      </c>
      <c r="B121" s="410" t="s">
        <v>761</v>
      </c>
      <c r="C121" s="391" t="s">
        <v>762</v>
      </c>
      <c r="D121" s="390" t="s">
        <v>488</v>
      </c>
      <c r="E121" s="393">
        <v>1</v>
      </c>
      <c r="F121" s="393">
        <v>3.1</v>
      </c>
      <c r="G121" s="393"/>
      <c r="H121" s="393"/>
      <c r="I121" s="393">
        <v>1</v>
      </c>
      <c r="J121" s="393">
        <v>3.1</v>
      </c>
      <c r="K121" s="390"/>
      <c r="L121" s="390"/>
      <c r="M121" s="404"/>
      <c r="N121" s="396"/>
      <c r="O121" s="397"/>
    </row>
    <row r="122" spans="1:15" s="240" customFormat="1" ht="14.1" customHeight="1">
      <c r="A122" s="409">
        <v>111</v>
      </c>
      <c r="B122" s="410" t="s">
        <v>763</v>
      </c>
      <c r="C122" s="391" t="s">
        <v>764</v>
      </c>
      <c r="D122" s="390" t="s">
        <v>488</v>
      </c>
      <c r="E122" s="393">
        <v>1</v>
      </c>
      <c r="F122" s="393">
        <v>21.2</v>
      </c>
      <c r="G122" s="393"/>
      <c r="H122" s="393"/>
      <c r="I122" s="393"/>
      <c r="J122" s="393"/>
      <c r="K122" s="390"/>
      <c r="L122" s="390"/>
      <c r="M122" s="404" t="s">
        <v>765</v>
      </c>
      <c r="N122" s="396"/>
      <c r="O122" s="397"/>
    </row>
    <row r="123" spans="1:15" s="240" customFormat="1" ht="14.1" customHeight="1">
      <c r="A123" s="409">
        <v>112</v>
      </c>
      <c r="B123" s="410" t="s">
        <v>766</v>
      </c>
      <c r="C123" s="391" t="s">
        <v>767</v>
      </c>
      <c r="D123" s="390" t="s">
        <v>488</v>
      </c>
      <c r="E123" s="393">
        <v>1</v>
      </c>
      <c r="F123" s="393">
        <v>9.1</v>
      </c>
      <c r="G123" s="393"/>
      <c r="H123" s="393"/>
      <c r="I123" s="393">
        <v>1</v>
      </c>
      <c r="J123" s="393">
        <v>9.1</v>
      </c>
      <c r="K123" s="390"/>
      <c r="L123" s="390"/>
      <c r="M123" s="404"/>
      <c r="N123" s="396"/>
      <c r="O123" s="397"/>
    </row>
    <row r="124" spans="1:15" s="240" customFormat="1" ht="14.1" customHeight="1">
      <c r="A124" s="409">
        <v>113</v>
      </c>
      <c r="B124" s="410" t="s">
        <v>768</v>
      </c>
      <c r="C124" s="391" t="s">
        <v>769</v>
      </c>
      <c r="D124" s="390" t="s">
        <v>488</v>
      </c>
      <c r="E124" s="393">
        <v>1</v>
      </c>
      <c r="F124" s="393">
        <v>3.8</v>
      </c>
      <c r="G124" s="393"/>
      <c r="H124" s="393"/>
      <c r="I124" s="393">
        <v>1</v>
      </c>
      <c r="J124" s="393">
        <v>3.8</v>
      </c>
      <c r="K124" s="390"/>
      <c r="L124" s="390"/>
      <c r="M124" s="404"/>
      <c r="N124" s="396"/>
      <c r="O124" s="397"/>
    </row>
    <row r="125" spans="1:15" s="240" customFormat="1" ht="14.1" customHeight="1">
      <c r="A125" s="409">
        <v>114</v>
      </c>
      <c r="B125" s="410" t="s">
        <v>770</v>
      </c>
      <c r="C125" s="391" t="s">
        <v>771</v>
      </c>
      <c r="D125" s="390" t="s">
        <v>488</v>
      </c>
      <c r="E125" s="393">
        <v>1</v>
      </c>
      <c r="F125" s="393">
        <v>2.8</v>
      </c>
      <c r="G125" s="393"/>
      <c r="H125" s="393"/>
      <c r="I125" s="393">
        <v>1</v>
      </c>
      <c r="J125" s="393">
        <v>2.8</v>
      </c>
      <c r="K125" s="390"/>
      <c r="L125" s="390"/>
      <c r="M125" s="404"/>
      <c r="N125" s="396"/>
      <c r="O125" s="397"/>
    </row>
    <row r="126" spans="1:15" s="240" customFormat="1" ht="14.1" customHeight="1">
      <c r="A126" s="409">
        <v>115</v>
      </c>
      <c r="B126" s="410" t="s">
        <v>772</v>
      </c>
      <c r="C126" s="391" t="s">
        <v>773</v>
      </c>
      <c r="D126" s="390" t="s">
        <v>488</v>
      </c>
      <c r="E126" s="393">
        <v>1</v>
      </c>
      <c r="F126" s="393">
        <v>1.9</v>
      </c>
      <c r="G126" s="393"/>
      <c r="H126" s="393"/>
      <c r="I126" s="393">
        <v>1</v>
      </c>
      <c r="J126" s="393">
        <v>1.9</v>
      </c>
      <c r="K126" s="390"/>
      <c r="L126" s="390"/>
      <c r="M126" s="404"/>
      <c r="N126" s="396"/>
      <c r="O126" s="397"/>
    </row>
    <row r="127" spans="1:15" s="240" customFormat="1" ht="14.1" customHeight="1">
      <c r="A127" s="409">
        <v>116</v>
      </c>
      <c r="B127" s="410" t="s">
        <v>774</v>
      </c>
      <c r="C127" s="391" t="s">
        <v>775</v>
      </c>
      <c r="D127" s="390" t="s">
        <v>488</v>
      </c>
      <c r="E127" s="393">
        <v>1</v>
      </c>
      <c r="F127" s="393">
        <v>2.8</v>
      </c>
      <c r="G127" s="393"/>
      <c r="H127" s="393"/>
      <c r="I127" s="393">
        <v>1</v>
      </c>
      <c r="J127" s="393">
        <v>2.8</v>
      </c>
      <c r="K127" s="390"/>
      <c r="L127" s="390"/>
      <c r="M127" s="404"/>
      <c r="N127" s="396"/>
      <c r="O127" s="397"/>
    </row>
    <row r="128" spans="1:15" s="240" customFormat="1" ht="14.1" customHeight="1">
      <c r="A128" s="409">
        <v>117</v>
      </c>
      <c r="B128" s="410" t="s">
        <v>776</v>
      </c>
      <c r="C128" s="391" t="s">
        <v>777</v>
      </c>
      <c r="D128" s="390" t="s">
        <v>488</v>
      </c>
      <c r="E128" s="393">
        <v>1</v>
      </c>
      <c r="F128" s="393">
        <v>2.2000000000000002</v>
      </c>
      <c r="G128" s="393"/>
      <c r="H128" s="393"/>
      <c r="I128" s="393">
        <v>1</v>
      </c>
      <c r="J128" s="393">
        <v>2.2000000000000002</v>
      </c>
      <c r="K128" s="390"/>
      <c r="L128" s="390"/>
      <c r="M128" s="404"/>
      <c r="N128" s="396"/>
      <c r="O128" s="397"/>
    </row>
    <row r="129" spans="1:15" s="240" customFormat="1" ht="14.1" customHeight="1">
      <c r="A129" s="409">
        <v>118</v>
      </c>
      <c r="B129" s="410" t="s">
        <v>778</v>
      </c>
      <c r="C129" s="391" t="s">
        <v>779</v>
      </c>
      <c r="D129" s="390" t="s">
        <v>488</v>
      </c>
      <c r="E129" s="393">
        <v>1</v>
      </c>
      <c r="F129" s="393">
        <v>1.3</v>
      </c>
      <c r="G129" s="393"/>
      <c r="H129" s="393"/>
      <c r="I129" s="393">
        <v>1</v>
      </c>
      <c r="J129" s="393">
        <v>1.3</v>
      </c>
      <c r="K129" s="390"/>
      <c r="L129" s="390"/>
      <c r="M129" s="404"/>
      <c r="N129" s="396"/>
      <c r="O129" s="397"/>
    </row>
    <row r="130" spans="1:15" s="240" customFormat="1" ht="14.1" customHeight="1">
      <c r="A130" s="409">
        <v>119</v>
      </c>
      <c r="B130" s="410" t="s">
        <v>780</v>
      </c>
      <c r="C130" s="391" t="s">
        <v>781</v>
      </c>
      <c r="D130" s="390" t="s">
        <v>488</v>
      </c>
      <c r="E130" s="393">
        <v>1</v>
      </c>
      <c r="F130" s="393">
        <v>2.2000000000000002</v>
      </c>
      <c r="G130" s="393"/>
      <c r="H130" s="393"/>
      <c r="I130" s="393">
        <v>1</v>
      </c>
      <c r="J130" s="393">
        <v>2.2000000000000002</v>
      </c>
      <c r="K130" s="390"/>
      <c r="L130" s="390"/>
      <c r="M130" s="404"/>
      <c r="N130" s="396"/>
      <c r="O130" s="397"/>
    </row>
    <row r="131" spans="1:15" s="240" customFormat="1" ht="14.1" customHeight="1">
      <c r="A131" s="409">
        <v>120</v>
      </c>
      <c r="B131" s="410" t="s">
        <v>782</v>
      </c>
      <c r="C131" s="391" t="s">
        <v>783</v>
      </c>
      <c r="D131" s="390" t="s">
        <v>488</v>
      </c>
      <c r="E131" s="393">
        <v>1</v>
      </c>
      <c r="F131" s="393">
        <v>1.7</v>
      </c>
      <c r="G131" s="393"/>
      <c r="H131" s="393"/>
      <c r="I131" s="393">
        <v>1</v>
      </c>
      <c r="J131" s="393">
        <v>1.7</v>
      </c>
      <c r="K131" s="390"/>
      <c r="L131" s="390"/>
      <c r="M131" s="404"/>
      <c r="N131" s="396"/>
      <c r="O131" s="397"/>
    </row>
    <row r="132" spans="1:15" s="240" customFormat="1" ht="14.1" customHeight="1">
      <c r="A132" s="409">
        <v>121</v>
      </c>
      <c r="B132" s="410" t="s">
        <v>784</v>
      </c>
      <c r="C132" s="391" t="s">
        <v>785</v>
      </c>
      <c r="D132" s="390" t="s">
        <v>488</v>
      </c>
      <c r="E132" s="393">
        <v>1</v>
      </c>
      <c r="F132" s="393">
        <v>1.7</v>
      </c>
      <c r="G132" s="393"/>
      <c r="H132" s="393"/>
      <c r="I132" s="393">
        <v>1</v>
      </c>
      <c r="J132" s="393">
        <v>1.7</v>
      </c>
      <c r="K132" s="390"/>
      <c r="L132" s="390"/>
      <c r="M132" s="404"/>
      <c r="N132" s="396"/>
      <c r="O132" s="397"/>
    </row>
    <row r="133" spans="1:15" s="240" customFormat="1" ht="14.1" customHeight="1">
      <c r="A133" s="409">
        <v>122</v>
      </c>
      <c r="B133" s="410" t="s">
        <v>786</v>
      </c>
      <c r="C133" s="391" t="s">
        <v>787</v>
      </c>
      <c r="D133" s="390" t="s">
        <v>488</v>
      </c>
      <c r="E133" s="393">
        <v>1</v>
      </c>
      <c r="F133" s="393">
        <v>4.0999999999999996</v>
      </c>
      <c r="G133" s="393"/>
      <c r="H133" s="393"/>
      <c r="I133" s="393">
        <v>1</v>
      </c>
      <c r="J133" s="393">
        <v>4.0999999999999996</v>
      </c>
      <c r="K133" s="390"/>
      <c r="L133" s="390"/>
      <c r="M133" s="404"/>
      <c r="N133" s="396"/>
      <c r="O133" s="397"/>
    </row>
    <row r="134" spans="1:15" s="240" customFormat="1" ht="14.1" customHeight="1">
      <c r="A134" s="409">
        <v>123</v>
      </c>
      <c r="B134" s="410" t="s">
        <v>788</v>
      </c>
      <c r="C134" s="391" t="s">
        <v>789</v>
      </c>
      <c r="D134" s="390" t="s">
        <v>488</v>
      </c>
      <c r="E134" s="393">
        <v>1</v>
      </c>
      <c r="F134" s="393">
        <v>6.8</v>
      </c>
      <c r="G134" s="393"/>
      <c r="H134" s="393"/>
      <c r="I134" s="393">
        <v>1</v>
      </c>
      <c r="J134" s="393">
        <v>6.8</v>
      </c>
      <c r="K134" s="390"/>
      <c r="L134" s="390"/>
      <c r="M134" s="404"/>
      <c r="N134" s="396"/>
      <c r="O134" s="397"/>
    </row>
    <row r="135" spans="1:15" s="240" customFormat="1" ht="14.1" customHeight="1">
      <c r="A135" s="409">
        <v>124</v>
      </c>
      <c r="B135" s="410" t="s">
        <v>790</v>
      </c>
      <c r="C135" s="391" t="s">
        <v>791</v>
      </c>
      <c r="D135" s="390" t="s">
        <v>488</v>
      </c>
      <c r="E135" s="393">
        <v>1</v>
      </c>
      <c r="F135" s="393">
        <v>3.6</v>
      </c>
      <c r="G135" s="393"/>
      <c r="H135" s="393"/>
      <c r="I135" s="393">
        <v>1</v>
      </c>
      <c r="J135" s="393">
        <v>3.6</v>
      </c>
      <c r="K135" s="390"/>
      <c r="L135" s="390"/>
      <c r="M135" s="404"/>
      <c r="N135" s="396"/>
      <c r="O135" s="397"/>
    </row>
    <row r="136" spans="1:15" s="240" customFormat="1" ht="14.1" customHeight="1">
      <c r="A136" s="409">
        <v>125</v>
      </c>
      <c r="B136" s="410" t="s">
        <v>792</v>
      </c>
      <c r="C136" s="391" t="s">
        <v>793</v>
      </c>
      <c r="D136" s="390" t="s">
        <v>488</v>
      </c>
      <c r="E136" s="393">
        <v>1</v>
      </c>
      <c r="F136" s="393">
        <v>2.4</v>
      </c>
      <c r="G136" s="393"/>
      <c r="H136" s="393"/>
      <c r="I136" s="399"/>
      <c r="J136" s="399"/>
      <c r="K136" s="390"/>
      <c r="L136" s="390"/>
      <c r="M136" s="404"/>
      <c r="N136" s="393">
        <v>1</v>
      </c>
      <c r="O136" s="400">
        <v>2.4</v>
      </c>
    </row>
    <row r="137" spans="1:15" s="240" customFormat="1" ht="14.1" customHeight="1">
      <c r="A137" s="409">
        <v>126</v>
      </c>
      <c r="B137" s="410" t="s">
        <v>794</v>
      </c>
      <c r="C137" s="391" t="s">
        <v>795</v>
      </c>
      <c r="D137" s="390" t="s">
        <v>488</v>
      </c>
      <c r="E137" s="393">
        <v>1</v>
      </c>
      <c r="F137" s="393">
        <v>3.1</v>
      </c>
      <c r="G137" s="393"/>
      <c r="H137" s="393"/>
      <c r="I137" s="393">
        <v>1</v>
      </c>
      <c r="J137" s="393">
        <v>3.1</v>
      </c>
      <c r="K137" s="390"/>
      <c r="L137" s="390"/>
      <c r="M137" s="404"/>
      <c r="N137" s="396"/>
      <c r="O137" s="397"/>
    </row>
    <row r="138" spans="1:15" s="240" customFormat="1" ht="14.1" customHeight="1">
      <c r="A138" s="409">
        <v>127</v>
      </c>
      <c r="B138" s="410" t="s">
        <v>796</v>
      </c>
      <c r="C138" s="391" t="s">
        <v>797</v>
      </c>
      <c r="D138" s="390" t="s">
        <v>488</v>
      </c>
      <c r="E138" s="393">
        <v>1</v>
      </c>
      <c r="F138" s="393">
        <v>2.2999999999999998</v>
      </c>
      <c r="G138" s="393"/>
      <c r="H138" s="393"/>
      <c r="I138" s="393">
        <v>1</v>
      </c>
      <c r="J138" s="393">
        <v>2.2999999999999998</v>
      </c>
      <c r="K138" s="390"/>
      <c r="L138" s="390"/>
      <c r="M138" s="404"/>
      <c r="N138" s="396"/>
      <c r="O138" s="397"/>
    </row>
    <row r="139" spans="1:15" s="240" customFormat="1" ht="14.1" customHeight="1">
      <c r="A139" s="409">
        <v>128</v>
      </c>
      <c r="B139" s="410" t="s">
        <v>798</v>
      </c>
      <c r="C139" s="391" t="s">
        <v>799</v>
      </c>
      <c r="D139" s="390" t="s">
        <v>488</v>
      </c>
      <c r="E139" s="393">
        <v>1</v>
      </c>
      <c r="F139" s="393">
        <v>2.2000000000000002</v>
      </c>
      <c r="G139" s="393"/>
      <c r="H139" s="393"/>
      <c r="I139" s="393">
        <v>1</v>
      </c>
      <c r="J139" s="393">
        <v>2.2000000000000002</v>
      </c>
      <c r="K139" s="390"/>
      <c r="L139" s="390"/>
      <c r="M139" s="404"/>
      <c r="N139" s="396"/>
      <c r="O139" s="397"/>
    </row>
    <row r="140" spans="1:15" s="240" customFormat="1" ht="14.1" customHeight="1">
      <c r="A140" s="409">
        <v>129</v>
      </c>
      <c r="B140" s="410" t="s">
        <v>800</v>
      </c>
      <c r="C140" s="391" t="s">
        <v>801</v>
      </c>
      <c r="D140" s="390" t="s">
        <v>488</v>
      </c>
      <c r="E140" s="393">
        <v>1</v>
      </c>
      <c r="F140" s="393">
        <v>2.5</v>
      </c>
      <c r="G140" s="393"/>
      <c r="H140" s="393"/>
      <c r="I140" s="393">
        <v>1</v>
      </c>
      <c r="J140" s="393">
        <v>2.5</v>
      </c>
      <c r="K140" s="390"/>
      <c r="L140" s="390"/>
      <c r="M140" s="404"/>
      <c r="N140" s="396"/>
      <c r="O140" s="397"/>
    </row>
    <row r="141" spans="1:15" s="240" customFormat="1" ht="14.1" customHeight="1">
      <c r="A141" s="409">
        <v>130</v>
      </c>
      <c r="B141" s="410" t="s">
        <v>802</v>
      </c>
      <c r="C141" s="391" t="s">
        <v>803</v>
      </c>
      <c r="D141" s="390" t="s">
        <v>488</v>
      </c>
      <c r="E141" s="393">
        <v>1</v>
      </c>
      <c r="F141" s="393">
        <v>4.3</v>
      </c>
      <c r="G141" s="393"/>
      <c r="H141" s="393"/>
      <c r="I141" s="393">
        <v>1</v>
      </c>
      <c r="J141" s="393">
        <v>4.3</v>
      </c>
      <c r="K141" s="390"/>
      <c r="L141" s="390"/>
      <c r="M141" s="404"/>
      <c r="N141" s="396"/>
      <c r="O141" s="397"/>
    </row>
    <row r="142" spans="1:15" s="240" customFormat="1" ht="14.1" customHeight="1">
      <c r="A142" s="409">
        <v>131</v>
      </c>
      <c r="B142" s="410" t="s">
        <v>804</v>
      </c>
      <c r="C142" s="391" t="s">
        <v>805</v>
      </c>
      <c r="D142" s="390" t="s">
        <v>488</v>
      </c>
      <c r="E142" s="393">
        <v>1</v>
      </c>
      <c r="F142" s="393">
        <v>3.3</v>
      </c>
      <c r="G142" s="393"/>
      <c r="H142" s="393"/>
      <c r="I142" s="393">
        <v>1</v>
      </c>
      <c r="J142" s="393">
        <v>3.3</v>
      </c>
      <c r="K142" s="390"/>
      <c r="L142" s="390"/>
      <c r="M142" s="404"/>
      <c r="N142" s="396"/>
      <c r="O142" s="397"/>
    </row>
    <row r="143" spans="1:15" s="240" customFormat="1" ht="14.1" customHeight="1">
      <c r="A143" s="409">
        <v>132</v>
      </c>
      <c r="B143" s="410" t="s">
        <v>806</v>
      </c>
      <c r="C143" s="391" t="s">
        <v>807</v>
      </c>
      <c r="D143" s="390" t="s">
        <v>488</v>
      </c>
      <c r="E143" s="393">
        <v>1</v>
      </c>
      <c r="F143" s="393">
        <v>5</v>
      </c>
      <c r="G143" s="393"/>
      <c r="H143" s="393"/>
      <c r="I143" s="393">
        <v>1</v>
      </c>
      <c r="J143" s="393">
        <v>5</v>
      </c>
      <c r="K143" s="390"/>
      <c r="L143" s="390"/>
      <c r="M143" s="404"/>
      <c r="N143" s="396"/>
      <c r="O143" s="397"/>
    </row>
    <row r="144" spans="1:15" s="240" customFormat="1" ht="14.1" customHeight="1">
      <c r="A144" s="409">
        <v>133</v>
      </c>
      <c r="B144" s="410" t="s">
        <v>808</v>
      </c>
      <c r="C144" s="391" t="s">
        <v>809</v>
      </c>
      <c r="D144" s="390" t="s">
        <v>488</v>
      </c>
      <c r="E144" s="393">
        <v>1</v>
      </c>
      <c r="F144" s="393">
        <v>2.9</v>
      </c>
      <c r="G144" s="393"/>
      <c r="H144" s="393"/>
      <c r="I144" s="393">
        <v>1</v>
      </c>
      <c r="J144" s="393">
        <v>2.9</v>
      </c>
      <c r="K144" s="390"/>
      <c r="L144" s="390"/>
      <c r="M144" s="404"/>
      <c r="N144" s="396"/>
      <c r="O144" s="397"/>
    </row>
    <row r="145" spans="1:15" s="240" customFormat="1" ht="14.1" customHeight="1">
      <c r="A145" s="409">
        <v>134</v>
      </c>
      <c r="B145" s="410" t="s">
        <v>810</v>
      </c>
      <c r="C145" s="391" t="s">
        <v>811</v>
      </c>
      <c r="D145" s="390" t="s">
        <v>488</v>
      </c>
      <c r="E145" s="393">
        <v>1</v>
      </c>
      <c r="F145" s="393">
        <v>5</v>
      </c>
      <c r="G145" s="393"/>
      <c r="H145" s="393"/>
      <c r="I145" s="393">
        <v>1</v>
      </c>
      <c r="J145" s="393">
        <v>5</v>
      </c>
      <c r="K145" s="390"/>
      <c r="L145" s="390"/>
      <c r="M145" s="404"/>
      <c r="N145" s="396"/>
      <c r="O145" s="397"/>
    </row>
    <row r="146" spans="1:15" s="240" customFormat="1" ht="14.1" customHeight="1">
      <c r="A146" s="409">
        <v>135</v>
      </c>
      <c r="B146" s="410" t="s">
        <v>812</v>
      </c>
      <c r="C146" s="391" t="s">
        <v>813</v>
      </c>
      <c r="D146" s="390" t="s">
        <v>488</v>
      </c>
      <c r="E146" s="393">
        <v>1</v>
      </c>
      <c r="F146" s="393">
        <v>3.4</v>
      </c>
      <c r="G146" s="393"/>
      <c r="H146" s="393"/>
      <c r="I146" s="393">
        <v>1</v>
      </c>
      <c r="J146" s="393">
        <v>3.4</v>
      </c>
      <c r="K146" s="390"/>
      <c r="L146" s="390"/>
      <c r="M146" s="404"/>
      <c r="N146" s="396"/>
      <c r="O146" s="397"/>
    </row>
    <row r="147" spans="1:15" s="240" customFormat="1" ht="14.1" customHeight="1">
      <c r="A147" s="409">
        <v>136</v>
      </c>
      <c r="B147" s="410" t="s">
        <v>814</v>
      </c>
      <c r="C147" s="391" t="s">
        <v>815</v>
      </c>
      <c r="D147" s="390" t="s">
        <v>488</v>
      </c>
      <c r="E147" s="393">
        <v>1</v>
      </c>
      <c r="F147" s="393">
        <v>5.0999999999999996</v>
      </c>
      <c r="G147" s="393"/>
      <c r="H147" s="393"/>
      <c r="I147" s="393">
        <v>1</v>
      </c>
      <c r="J147" s="393">
        <v>5.0999999999999996</v>
      </c>
      <c r="K147" s="390"/>
      <c r="L147" s="390"/>
      <c r="M147" s="404"/>
      <c r="N147" s="396"/>
      <c r="O147" s="397"/>
    </row>
    <row r="148" spans="1:15" s="240" customFormat="1" ht="14.1" customHeight="1">
      <c r="A148" s="409">
        <v>137</v>
      </c>
      <c r="B148" s="410" t="s">
        <v>816</v>
      </c>
      <c r="C148" s="391" t="s">
        <v>817</v>
      </c>
      <c r="D148" s="390" t="s">
        <v>488</v>
      </c>
      <c r="E148" s="393">
        <v>1</v>
      </c>
      <c r="F148" s="393">
        <v>3.7</v>
      </c>
      <c r="G148" s="393"/>
      <c r="H148" s="393"/>
      <c r="I148" s="393">
        <v>1</v>
      </c>
      <c r="J148" s="393">
        <v>3.7</v>
      </c>
      <c r="K148" s="390"/>
      <c r="L148" s="390"/>
      <c r="M148" s="404"/>
      <c r="N148" s="396"/>
      <c r="O148" s="397"/>
    </row>
    <row r="149" spans="1:15" s="240" customFormat="1" ht="14.1" customHeight="1">
      <c r="A149" s="409">
        <v>138</v>
      </c>
      <c r="B149" s="410" t="s">
        <v>818</v>
      </c>
      <c r="C149" s="391" t="s">
        <v>819</v>
      </c>
      <c r="D149" s="390" t="s">
        <v>488</v>
      </c>
      <c r="E149" s="393">
        <v>1</v>
      </c>
      <c r="F149" s="393">
        <v>3.5</v>
      </c>
      <c r="G149" s="393"/>
      <c r="H149" s="393"/>
      <c r="I149" s="393">
        <v>1</v>
      </c>
      <c r="J149" s="393">
        <v>3.5</v>
      </c>
      <c r="K149" s="390"/>
      <c r="L149" s="390"/>
      <c r="M149" s="404"/>
      <c r="N149" s="396"/>
      <c r="O149" s="397"/>
    </row>
    <row r="150" spans="1:15" s="240" customFormat="1" ht="14.1" customHeight="1">
      <c r="A150" s="409">
        <v>139</v>
      </c>
      <c r="B150" s="410" t="s">
        <v>820</v>
      </c>
      <c r="C150" s="391" t="s">
        <v>821</v>
      </c>
      <c r="D150" s="390" t="s">
        <v>488</v>
      </c>
      <c r="E150" s="393">
        <v>1</v>
      </c>
      <c r="F150" s="393">
        <v>3.8</v>
      </c>
      <c r="G150" s="393"/>
      <c r="H150" s="393"/>
      <c r="I150" s="393">
        <v>1</v>
      </c>
      <c r="J150" s="393">
        <v>3.8</v>
      </c>
      <c r="K150" s="390"/>
      <c r="L150" s="390"/>
      <c r="M150" s="404"/>
      <c r="N150" s="396"/>
      <c r="O150" s="397"/>
    </row>
    <row r="151" spans="1:15" s="240" customFormat="1" ht="14.1" customHeight="1">
      <c r="A151" s="409">
        <v>140</v>
      </c>
      <c r="B151" s="410" t="s">
        <v>822</v>
      </c>
      <c r="C151" s="391" t="s">
        <v>823</v>
      </c>
      <c r="D151" s="390" t="s">
        <v>488</v>
      </c>
      <c r="E151" s="393">
        <v>1</v>
      </c>
      <c r="F151" s="393">
        <v>1.9</v>
      </c>
      <c r="G151" s="393"/>
      <c r="H151" s="393"/>
      <c r="I151" s="393">
        <v>1</v>
      </c>
      <c r="J151" s="393">
        <v>1.9</v>
      </c>
      <c r="K151" s="390"/>
      <c r="L151" s="390"/>
      <c r="M151" s="404"/>
      <c r="N151" s="396"/>
      <c r="O151" s="397"/>
    </row>
    <row r="152" spans="1:15" s="240" customFormat="1" ht="14.1" customHeight="1">
      <c r="A152" s="409">
        <v>141</v>
      </c>
      <c r="B152" s="410" t="s">
        <v>824</v>
      </c>
      <c r="C152" s="391" t="s">
        <v>825</v>
      </c>
      <c r="D152" s="390" t="s">
        <v>488</v>
      </c>
      <c r="E152" s="393">
        <v>1</v>
      </c>
      <c r="F152" s="393">
        <v>1.9</v>
      </c>
      <c r="G152" s="393"/>
      <c r="H152" s="393"/>
      <c r="I152" s="393">
        <v>1</v>
      </c>
      <c r="J152" s="393">
        <v>1.9</v>
      </c>
      <c r="K152" s="390"/>
      <c r="L152" s="390"/>
      <c r="M152" s="404"/>
      <c r="N152" s="396"/>
      <c r="O152" s="397"/>
    </row>
    <row r="153" spans="1:15" s="240" customFormat="1" ht="14.1" customHeight="1">
      <c r="A153" s="409">
        <v>142</v>
      </c>
      <c r="B153" s="410" t="s">
        <v>826</v>
      </c>
      <c r="C153" s="391" t="s">
        <v>827</v>
      </c>
      <c r="D153" s="390" t="s">
        <v>488</v>
      </c>
      <c r="E153" s="393">
        <v>1</v>
      </c>
      <c r="F153" s="393">
        <v>2.1</v>
      </c>
      <c r="G153" s="393"/>
      <c r="H153" s="393"/>
      <c r="I153" s="393">
        <v>1</v>
      </c>
      <c r="J153" s="393">
        <v>2.1</v>
      </c>
      <c r="K153" s="390"/>
      <c r="L153" s="390"/>
      <c r="M153" s="404"/>
      <c r="N153" s="396"/>
      <c r="O153" s="397"/>
    </row>
    <row r="154" spans="1:15" s="240" customFormat="1" ht="14.1" customHeight="1">
      <c r="A154" s="409">
        <v>143</v>
      </c>
      <c r="B154" s="410" t="s">
        <v>828</v>
      </c>
      <c r="C154" s="391" t="s">
        <v>829</v>
      </c>
      <c r="D154" s="390" t="s">
        <v>488</v>
      </c>
      <c r="E154" s="393">
        <v>1</v>
      </c>
      <c r="F154" s="393">
        <v>2.9</v>
      </c>
      <c r="G154" s="393"/>
      <c r="H154" s="393"/>
      <c r="I154" s="393">
        <v>1</v>
      </c>
      <c r="J154" s="393">
        <v>2.9</v>
      </c>
      <c r="K154" s="390"/>
      <c r="L154" s="390"/>
      <c r="M154" s="404"/>
      <c r="N154" s="396"/>
      <c r="O154" s="397"/>
    </row>
    <row r="155" spans="1:15" s="240" customFormat="1" ht="14.1" customHeight="1">
      <c r="A155" s="409">
        <v>144</v>
      </c>
      <c r="B155" s="410" t="s">
        <v>692</v>
      </c>
      <c r="C155" s="391" t="s">
        <v>830</v>
      </c>
      <c r="D155" s="390" t="s">
        <v>488</v>
      </c>
      <c r="E155" s="393">
        <v>1</v>
      </c>
      <c r="F155" s="393">
        <v>2.2999999999999998</v>
      </c>
      <c r="G155" s="393"/>
      <c r="H155" s="393"/>
      <c r="I155" s="393">
        <v>1</v>
      </c>
      <c r="J155" s="393">
        <v>2.2999999999999998</v>
      </c>
      <c r="K155" s="390"/>
      <c r="L155" s="390"/>
      <c r="M155" s="404"/>
      <c r="N155" s="396"/>
      <c r="O155" s="397"/>
    </row>
    <row r="156" spans="1:15" s="240" customFormat="1" ht="14.1" customHeight="1">
      <c r="A156" s="409">
        <v>145</v>
      </c>
      <c r="B156" s="410" t="s">
        <v>831</v>
      </c>
      <c r="C156" s="391" t="s">
        <v>832</v>
      </c>
      <c r="D156" s="390" t="s">
        <v>488</v>
      </c>
      <c r="E156" s="393">
        <v>1</v>
      </c>
      <c r="F156" s="393">
        <v>5</v>
      </c>
      <c r="G156" s="393"/>
      <c r="H156" s="393"/>
      <c r="I156" s="393">
        <v>1</v>
      </c>
      <c r="J156" s="393">
        <v>5</v>
      </c>
      <c r="K156" s="390"/>
      <c r="L156" s="390"/>
      <c r="M156" s="404"/>
      <c r="N156" s="396"/>
      <c r="O156" s="397"/>
    </row>
    <row r="157" spans="1:15" s="240" customFormat="1" ht="14.1" customHeight="1">
      <c r="A157" s="409">
        <v>146</v>
      </c>
      <c r="B157" s="410" t="s">
        <v>692</v>
      </c>
      <c r="C157" s="391" t="s">
        <v>833</v>
      </c>
      <c r="D157" s="390" t="s">
        <v>488</v>
      </c>
      <c r="E157" s="393">
        <v>1</v>
      </c>
      <c r="F157" s="393">
        <v>4.2</v>
      </c>
      <c r="G157" s="393"/>
      <c r="H157" s="393"/>
      <c r="I157" s="393">
        <v>1</v>
      </c>
      <c r="J157" s="393">
        <v>4.2</v>
      </c>
      <c r="K157" s="390"/>
      <c r="L157" s="390"/>
      <c r="M157" s="404"/>
      <c r="N157" s="396"/>
      <c r="O157" s="397"/>
    </row>
    <row r="158" spans="1:15" s="240" customFormat="1" ht="14.1" customHeight="1">
      <c r="A158" s="409">
        <v>147</v>
      </c>
      <c r="B158" s="410" t="s">
        <v>692</v>
      </c>
      <c r="C158" s="391" t="s">
        <v>834</v>
      </c>
      <c r="D158" s="390" t="s">
        <v>488</v>
      </c>
      <c r="E158" s="393">
        <v>1</v>
      </c>
      <c r="F158" s="393">
        <v>2.1</v>
      </c>
      <c r="G158" s="393"/>
      <c r="H158" s="393"/>
      <c r="I158" s="393">
        <v>1</v>
      </c>
      <c r="J158" s="393">
        <v>2.1</v>
      </c>
      <c r="K158" s="390"/>
      <c r="L158" s="390"/>
      <c r="M158" s="404"/>
      <c r="N158" s="396"/>
      <c r="O158" s="397"/>
    </row>
    <row r="159" spans="1:15" s="240" customFormat="1" ht="14.1" customHeight="1">
      <c r="A159" s="409">
        <v>148</v>
      </c>
      <c r="B159" s="410" t="s">
        <v>835</v>
      </c>
      <c r="C159" s="391" t="s">
        <v>836</v>
      </c>
      <c r="D159" s="390" t="s">
        <v>488</v>
      </c>
      <c r="E159" s="393">
        <v>1</v>
      </c>
      <c r="F159" s="393">
        <v>2.2000000000000002</v>
      </c>
      <c r="G159" s="393"/>
      <c r="H159" s="393"/>
      <c r="I159" s="393">
        <v>1</v>
      </c>
      <c r="J159" s="393">
        <v>2.2000000000000002</v>
      </c>
      <c r="K159" s="390"/>
      <c r="L159" s="390"/>
      <c r="M159" s="404"/>
      <c r="N159" s="396"/>
      <c r="O159" s="397"/>
    </row>
    <row r="160" spans="1:15" s="240" customFormat="1" ht="14.1" customHeight="1">
      <c r="A160" s="409">
        <v>149</v>
      </c>
      <c r="B160" s="410" t="s">
        <v>692</v>
      </c>
      <c r="C160" s="391" t="s">
        <v>837</v>
      </c>
      <c r="D160" s="390" t="s">
        <v>488</v>
      </c>
      <c r="E160" s="393">
        <v>1</v>
      </c>
      <c r="F160" s="393">
        <v>1.7</v>
      </c>
      <c r="G160" s="393"/>
      <c r="H160" s="393"/>
      <c r="I160" s="393">
        <v>1</v>
      </c>
      <c r="J160" s="393">
        <v>1.7</v>
      </c>
      <c r="K160" s="390"/>
      <c r="L160" s="390"/>
      <c r="M160" s="404"/>
      <c r="N160" s="396"/>
      <c r="O160" s="397"/>
    </row>
    <row r="161" spans="1:15" s="240" customFormat="1" ht="14.1" customHeight="1">
      <c r="A161" s="409">
        <v>150</v>
      </c>
      <c r="B161" s="410" t="s">
        <v>838</v>
      </c>
      <c r="C161" s="391" t="s">
        <v>839</v>
      </c>
      <c r="D161" s="390" t="s">
        <v>488</v>
      </c>
      <c r="E161" s="393">
        <v>1</v>
      </c>
      <c r="F161" s="393">
        <v>3.2</v>
      </c>
      <c r="G161" s="393"/>
      <c r="H161" s="393"/>
      <c r="I161" s="393">
        <v>1</v>
      </c>
      <c r="J161" s="393">
        <v>3.2</v>
      </c>
      <c r="K161" s="390"/>
      <c r="L161" s="390"/>
      <c r="M161" s="404"/>
      <c r="N161" s="396"/>
      <c r="O161" s="397"/>
    </row>
    <row r="162" spans="1:15" s="240" customFormat="1" ht="14.1" customHeight="1">
      <c r="A162" s="409">
        <v>151</v>
      </c>
      <c r="B162" s="410" t="s">
        <v>840</v>
      </c>
      <c r="C162" s="391" t="s">
        <v>841</v>
      </c>
      <c r="D162" s="390" t="s">
        <v>488</v>
      </c>
      <c r="E162" s="393">
        <v>1</v>
      </c>
      <c r="F162" s="393">
        <v>2.7</v>
      </c>
      <c r="G162" s="393"/>
      <c r="H162" s="393"/>
      <c r="I162" s="393">
        <v>1</v>
      </c>
      <c r="J162" s="393">
        <v>2.7</v>
      </c>
      <c r="K162" s="390"/>
      <c r="L162" s="390"/>
      <c r="M162" s="404"/>
      <c r="N162" s="396"/>
      <c r="O162" s="397"/>
    </row>
    <row r="163" spans="1:15" s="240" customFormat="1" ht="14.1" customHeight="1">
      <c r="A163" s="409">
        <v>152</v>
      </c>
      <c r="B163" s="410" t="s">
        <v>842</v>
      </c>
      <c r="C163" s="391" t="s">
        <v>843</v>
      </c>
      <c r="D163" s="390" t="s">
        <v>488</v>
      </c>
      <c r="E163" s="393">
        <v>1</v>
      </c>
      <c r="F163" s="393">
        <v>3.3</v>
      </c>
      <c r="G163" s="393"/>
      <c r="H163" s="393"/>
      <c r="I163" s="393">
        <v>1</v>
      </c>
      <c r="J163" s="393">
        <v>3.3</v>
      </c>
      <c r="K163" s="390"/>
      <c r="L163" s="390"/>
      <c r="M163" s="404"/>
      <c r="N163" s="396"/>
      <c r="O163" s="397"/>
    </row>
    <row r="164" spans="1:15" s="240" customFormat="1" ht="14.1" customHeight="1">
      <c r="A164" s="409">
        <v>153</v>
      </c>
      <c r="B164" s="410" t="s">
        <v>844</v>
      </c>
      <c r="C164" s="391" t="s">
        <v>845</v>
      </c>
      <c r="D164" s="390" t="s">
        <v>488</v>
      </c>
      <c r="E164" s="393">
        <v>1</v>
      </c>
      <c r="F164" s="393">
        <v>2.2999999999999998</v>
      </c>
      <c r="G164" s="393"/>
      <c r="H164" s="393"/>
      <c r="I164" s="393">
        <v>1</v>
      </c>
      <c r="J164" s="393">
        <v>2.2999999999999998</v>
      </c>
      <c r="K164" s="390"/>
      <c r="L164" s="390"/>
      <c r="M164" s="404"/>
      <c r="N164" s="396"/>
      <c r="O164" s="397"/>
    </row>
    <row r="165" spans="1:15" s="240" customFormat="1" ht="14.1" customHeight="1">
      <c r="A165" s="409">
        <v>154</v>
      </c>
      <c r="B165" s="410" t="s">
        <v>846</v>
      </c>
      <c r="C165" s="391" t="s">
        <v>847</v>
      </c>
      <c r="D165" s="390" t="s">
        <v>488</v>
      </c>
      <c r="E165" s="393">
        <v>1</v>
      </c>
      <c r="F165" s="393">
        <v>3.3</v>
      </c>
      <c r="G165" s="393"/>
      <c r="H165" s="393"/>
      <c r="I165" s="393">
        <v>1</v>
      </c>
      <c r="J165" s="393">
        <v>3.3</v>
      </c>
      <c r="K165" s="390"/>
      <c r="L165" s="390"/>
      <c r="M165" s="404"/>
      <c r="N165" s="396"/>
      <c r="O165" s="397"/>
    </row>
    <row r="166" spans="1:15" s="240" customFormat="1" ht="14.1" customHeight="1">
      <c r="A166" s="409">
        <v>155</v>
      </c>
      <c r="B166" s="410" t="s">
        <v>848</v>
      </c>
      <c r="C166" s="391" t="s">
        <v>849</v>
      </c>
      <c r="D166" s="390" t="s">
        <v>488</v>
      </c>
      <c r="E166" s="393">
        <v>1</v>
      </c>
      <c r="F166" s="393">
        <v>3.8</v>
      </c>
      <c r="G166" s="393"/>
      <c r="H166" s="393"/>
      <c r="I166" s="393">
        <v>1</v>
      </c>
      <c r="J166" s="393">
        <v>3.8</v>
      </c>
      <c r="K166" s="390"/>
      <c r="L166" s="390"/>
      <c r="M166" s="404"/>
      <c r="N166" s="396"/>
      <c r="O166" s="397"/>
    </row>
    <row r="167" spans="1:15" s="240" customFormat="1" ht="14.1" customHeight="1">
      <c r="A167" s="409">
        <v>156</v>
      </c>
      <c r="B167" s="410" t="s">
        <v>850</v>
      </c>
      <c r="C167" s="391" t="s">
        <v>851</v>
      </c>
      <c r="D167" s="390" t="s">
        <v>488</v>
      </c>
      <c r="E167" s="393">
        <v>1</v>
      </c>
      <c r="F167" s="393">
        <v>3.7</v>
      </c>
      <c r="G167" s="393"/>
      <c r="H167" s="393"/>
      <c r="I167" s="393"/>
      <c r="J167" s="393"/>
      <c r="K167" s="390"/>
      <c r="L167" s="390"/>
      <c r="M167" s="404" t="s">
        <v>765</v>
      </c>
      <c r="N167" s="396"/>
      <c r="O167" s="397"/>
    </row>
    <row r="168" spans="1:15" s="240" customFormat="1" ht="14.1" customHeight="1">
      <c r="A168" s="409">
        <v>157</v>
      </c>
      <c r="B168" s="410" t="s">
        <v>852</v>
      </c>
      <c r="C168" s="391" t="s">
        <v>853</v>
      </c>
      <c r="D168" s="390" t="s">
        <v>488</v>
      </c>
      <c r="E168" s="393">
        <v>1</v>
      </c>
      <c r="F168" s="393">
        <v>3.7</v>
      </c>
      <c r="G168" s="393"/>
      <c r="H168" s="393"/>
      <c r="I168" s="393">
        <v>1</v>
      </c>
      <c r="J168" s="393">
        <v>3.7</v>
      </c>
      <c r="K168" s="390"/>
      <c r="L168" s="390"/>
      <c r="M168" s="404"/>
      <c r="N168" s="396"/>
      <c r="O168" s="397"/>
    </row>
    <row r="169" spans="1:15" s="240" customFormat="1" ht="14.1" customHeight="1">
      <c r="A169" s="409">
        <v>158</v>
      </c>
      <c r="B169" s="410" t="s">
        <v>854</v>
      </c>
      <c r="C169" s="391" t="s">
        <v>855</v>
      </c>
      <c r="D169" s="390" t="s">
        <v>488</v>
      </c>
      <c r="E169" s="393">
        <v>1</v>
      </c>
      <c r="F169" s="393">
        <v>5.7</v>
      </c>
      <c r="G169" s="393"/>
      <c r="H169" s="393"/>
      <c r="I169" s="393"/>
      <c r="J169" s="393"/>
      <c r="K169" s="390"/>
      <c r="L169" s="390"/>
      <c r="M169" s="404" t="s">
        <v>765</v>
      </c>
      <c r="N169" s="396"/>
      <c r="O169" s="397"/>
    </row>
    <row r="170" spans="1:15" s="240" customFormat="1" ht="14.1" customHeight="1">
      <c r="A170" s="409">
        <v>159</v>
      </c>
      <c r="B170" s="410" t="s">
        <v>854</v>
      </c>
      <c r="C170" s="391" t="s">
        <v>856</v>
      </c>
      <c r="D170" s="390" t="s">
        <v>488</v>
      </c>
      <c r="E170" s="393">
        <v>1</v>
      </c>
      <c r="F170" s="393">
        <v>4.7</v>
      </c>
      <c r="G170" s="393"/>
      <c r="H170" s="393"/>
      <c r="I170" s="393"/>
      <c r="J170" s="393"/>
      <c r="K170" s="390"/>
      <c r="L170" s="390"/>
      <c r="M170" s="404" t="s">
        <v>555</v>
      </c>
      <c r="N170" s="396"/>
      <c r="O170" s="397"/>
    </row>
    <row r="171" spans="1:15" s="240" customFormat="1" ht="14.1" customHeight="1">
      <c r="A171" s="409">
        <v>160</v>
      </c>
      <c r="B171" s="410" t="s">
        <v>857</v>
      </c>
      <c r="C171" s="391" t="s">
        <v>858</v>
      </c>
      <c r="D171" s="390" t="s">
        <v>488</v>
      </c>
      <c r="E171" s="393">
        <v>1</v>
      </c>
      <c r="F171" s="393">
        <v>2</v>
      </c>
      <c r="G171" s="393"/>
      <c r="H171" s="393"/>
      <c r="I171" s="393">
        <v>1</v>
      </c>
      <c r="J171" s="393">
        <v>2</v>
      </c>
      <c r="K171" s="390"/>
      <c r="L171" s="390"/>
      <c r="M171" s="404"/>
      <c r="N171" s="396"/>
      <c r="O171" s="397"/>
    </row>
    <row r="172" spans="1:15" s="240" customFormat="1" ht="14.1" customHeight="1">
      <c r="A172" s="409">
        <v>161</v>
      </c>
      <c r="B172" s="410" t="s">
        <v>859</v>
      </c>
      <c r="C172" s="391" t="s">
        <v>860</v>
      </c>
      <c r="D172" s="390" t="s">
        <v>488</v>
      </c>
      <c r="E172" s="393">
        <v>1</v>
      </c>
      <c r="F172" s="393">
        <v>3.8</v>
      </c>
      <c r="G172" s="393"/>
      <c r="H172" s="393"/>
      <c r="I172" s="393">
        <v>1</v>
      </c>
      <c r="J172" s="393">
        <v>3.8</v>
      </c>
      <c r="K172" s="390"/>
      <c r="L172" s="390"/>
      <c r="M172" s="404"/>
      <c r="N172" s="396"/>
      <c r="O172" s="397"/>
    </row>
    <row r="173" spans="1:15" s="240" customFormat="1" ht="14.1" customHeight="1">
      <c r="A173" s="409">
        <v>162</v>
      </c>
      <c r="B173" s="410" t="s">
        <v>861</v>
      </c>
      <c r="C173" s="391" t="s">
        <v>862</v>
      </c>
      <c r="D173" s="390" t="s">
        <v>488</v>
      </c>
      <c r="E173" s="393">
        <v>1</v>
      </c>
      <c r="F173" s="393">
        <v>2.7</v>
      </c>
      <c r="G173" s="393"/>
      <c r="H173" s="393"/>
      <c r="I173" s="393">
        <v>1</v>
      </c>
      <c r="J173" s="393">
        <v>2.7</v>
      </c>
      <c r="K173" s="390"/>
      <c r="L173" s="390"/>
      <c r="M173" s="404"/>
      <c r="N173" s="396"/>
      <c r="O173" s="397"/>
    </row>
    <row r="174" spans="1:15" s="240" customFormat="1" ht="14.1" customHeight="1">
      <c r="A174" s="409">
        <v>163</v>
      </c>
      <c r="B174" s="410" t="s">
        <v>863</v>
      </c>
      <c r="C174" s="391" t="s">
        <v>864</v>
      </c>
      <c r="D174" s="390" t="s">
        <v>488</v>
      </c>
      <c r="E174" s="393">
        <v>1</v>
      </c>
      <c r="F174" s="393">
        <v>6.3</v>
      </c>
      <c r="G174" s="393"/>
      <c r="H174" s="393"/>
      <c r="I174" s="393">
        <v>1</v>
      </c>
      <c r="J174" s="393">
        <v>6.3</v>
      </c>
      <c r="K174" s="390"/>
      <c r="L174" s="390"/>
      <c r="M174" s="404"/>
      <c r="N174" s="396"/>
      <c r="O174" s="397"/>
    </row>
    <row r="175" spans="1:15" s="240" customFormat="1" ht="14.1" customHeight="1">
      <c r="A175" s="409">
        <v>164</v>
      </c>
      <c r="B175" s="410" t="s">
        <v>865</v>
      </c>
      <c r="C175" s="391" t="s">
        <v>866</v>
      </c>
      <c r="D175" s="390" t="s">
        <v>488</v>
      </c>
      <c r="E175" s="393">
        <v>1</v>
      </c>
      <c r="F175" s="393">
        <v>4.8</v>
      </c>
      <c r="G175" s="393"/>
      <c r="H175" s="393"/>
      <c r="I175" s="393"/>
      <c r="J175" s="393"/>
      <c r="K175" s="390"/>
      <c r="L175" s="390"/>
      <c r="M175" s="404" t="s">
        <v>765</v>
      </c>
      <c r="N175" s="396"/>
      <c r="O175" s="397"/>
    </row>
    <row r="176" spans="1:15" s="240" customFormat="1" ht="14.1" customHeight="1">
      <c r="A176" s="409">
        <v>165</v>
      </c>
      <c r="B176" s="410" t="s">
        <v>867</v>
      </c>
      <c r="C176" s="391" t="s">
        <v>868</v>
      </c>
      <c r="D176" s="390" t="s">
        <v>488</v>
      </c>
      <c r="E176" s="393">
        <v>1</v>
      </c>
      <c r="F176" s="393">
        <v>5.5</v>
      </c>
      <c r="G176" s="393"/>
      <c r="H176" s="393"/>
      <c r="I176" s="393"/>
      <c r="J176" s="393"/>
      <c r="K176" s="390"/>
      <c r="L176" s="390"/>
      <c r="M176" s="404" t="s">
        <v>765</v>
      </c>
      <c r="N176" s="396"/>
      <c r="O176" s="397"/>
    </row>
    <row r="177" spans="1:15" s="240" customFormat="1" ht="14.1" customHeight="1">
      <c r="A177" s="409">
        <v>166</v>
      </c>
      <c r="B177" s="410" t="s">
        <v>869</v>
      </c>
      <c r="C177" s="391" t="s">
        <v>870</v>
      </c>
      <c r="D177" s="390" t="s">
        <v>488</v>
      </c>
      <c r="E177" s="393">
        <v>1</v>
      </c>
      <c r="F177" s="393">
        <v>3.3</v>
      </c>
      <c r="G177" s="393"/>
      <c r="H177" s="393"/>
      <c r="I177" s="393">
        <v>1</v>
      </c>
      <c r="J177" s="393">
        <v>3.3</v>
      </c>
      <c r="K177" s="390"/>
      <c r="L177" s="390"/>
      <c r="M177" s="404"/>
      <c r="N177" s="396"/>
      <c r="O177" s="397"/>
    </row>
    <row r="178" spans="1:15" s="240" customFormat="1" ht="14.1" customHeight="1">
      <c r="A178" s="409">
        <v>167</v>
      </c>
      <c r="B178" s="419" t="s">
        <v>871</v>
      </c>
      <c r="C178" s="391" t="s">
        <v>872</v>
      </c>
      <c r="D178" s="390" t="s">
        <v>488</v>
      </c>
      <c r="E178" s="393">
        <v>1</v>
      </c>
      <c r="F178" s="393">
        <v>2.6</v>
      </c>
      <c r="G178" s="393"/>
      <c r="H178" s="393"/>
      <c r="I178" s="393">
        <v>1</v>
      </c>
      <c r="J178" s="393">
        <v>2.6</v>
      </c>
      <c r="K178" s="390"/>
      <c r="L178" s="390"/>
      <c r="M178" s="404"/>
      <c r="N178" s="396"/>
      <c r="O178" s="397"/>
    </row>
    <row r="179" spans="1:15" s="240" customFormat="1" ht="14.1" customHeight="1">
      <c r="A179" s="409">
        <v>168</v>
      </c>
      <c r="B179" s="419" t="s">
        <v>873</v>
      </c>
      <c r="C179" s="391" t="s">
        <v>874</v>
      </c>
      <c r="D179" s="390" t="s">
        <v>488</v>
      </c>
      <c r="E179" s="393">
        <v>1</v>
      </c>
      <c r="F179" s="393">
        <v>2.8</v>
      </c>
      <c r="G179" s="393"/>
      <c r="H179" s="393"/>
      <c r="I179" s="393">
        <v>1</v>
      </c>
      <c r="J179" s="393">
        <v>2.8</v>
      </c>
      <c r="K179" s="390"/>
      <c r="L179" s="390"/>
      <c r="M179" s="404"/>
      <c r="N179" s="396"/>
      <c r="O179" s="397"/>
    </row>
    <row r="180" spans="1:15" s="240" customFormat="1" ht="14.1" customHeight="1">
      <c r="A180" s="409">
        <v>169</v>
      </c>
      <c r="B180" s="419" t="s">
        <v>875</v>
      </c>
      <c r="C180" s="391" t="s">
        <v>876</v>
      </c>
      <c r="D180" s="390" t="s">
        <v>488</v>
      </c>
      <c r="E180" s="393">
        <v>1</v>
      </c>
      <c r="F180" s="393">
        <v>4.3</v>
      </c>
      <c r="G180" s="393"/>
      <c r="H180" s="393"/>
      <c r="I180" s="393"/>
      <c r="J180" s="393"/>
      <c r="K180" s="390"/>
      <c r="L180" s="390"/>
      <c r="M180" s="404" t="s">
        <v>726</v>
      </c>
      <c r="N180" s="396"/>
      <c r="O180" s="397"/>
    </row>
    <row r="181" spans="1:15" s="240" customFormat="1" ht="14.1" customHeight="1">
      <c r="A181" s="409">
        <v>170</v>
      </c>
      <c r="B181" s="419" t="s">
        <v>877</v>
      </c>
      <c r="C181" s="391" t="s">
        <v>878</v>
      </c>
      <c r="D181" s="390" t="s">
        <v>488</v>
      </c>
      <c r="E181" s="393">
        <v>1</v>
      </c>
      <c r="F181" s="393">
        <v>3.6</v>
      </c>
      <c r="G181" s="393"/>
      <c r="H181" s="393"/>
      <c r="I181" s="393">
        <v>1</v>
      </c>
      <c r="J181" s="393">
        <v>3.6</v>
      </c>
      <c r="K181" s="390"/>
      <c r="L181" s="390"/>
      <c r="M181" s="404"/>
      <c r="N181" s="396"/>
      <c r="O181" s="397"/>
    </row>
    <row r="182" spans="1:15" s="240" customFormat="1" ht="14.1" customHeight="1">
      <c r="A182" s="409">
        <v>171</v>
      </c>
      <c r="B182" s="419" t="s">
        <v>879</v>
      </c>
      <c r="C182" s="391" t="s">
        <v>880</v>
      </c>
      <c r="D182" s="390" t="s">
        <v>488</v>
      </c>
      <c r="E182" s="393">
        <v>1</v>
      </c>
      <c r="F182" s="393">
        <v>1.6</v>
      </c>
      <c r="G182" s="393"/>
      <c r="H182" s="393"/>
      <c r="I182" s="393">
        <v>1</v>
      </c>
      <c r="J182" s="393">
        <v>1.6</v>
      </c>
      <c r="K182" s="390"/>
      <c r="L182" s="390"/>
      <c r="M182" s="404"/>
      <c r="N182" s="396"/>
      <c r="O182" s="397"/>
    </row>
    <row r="183" spans="1:15" s="240" customFormat="1" ht="14.1" customHeight="1">
      <c r="A183" s="409">
        <v>172</v>
      </c>
      <c r="B183" s="419" t="s">
        <v>881</v>
      </c>
      <c r="C183" s="391" t="s">
        <v>882</v>
      </c>
      <c r="D183" s="390" t="s">
        <v>488</v>
      </c>
      <c r="E183" s="393">
        <v>1</v>
      </c>
      <c r="F183" s="393">
        <v>27.8</v>
      </c>
      <c r="G183" s="393"/>
      <c r="H183" s="393"/>
      <c r="I183" s="393"/>
      <c r="J183" s="393"/>
      <c r="K183" s="390"/>
      <c r="L183" s="390"/>
      <c r="M183" s="404" t="s">
        <v>765</v>
      </c>
      <c r="N183" s="396"/>
      <c r="O183" s="397"/>
    </row>
    <row r="184" spans="1:15" s="240" customFormat="1" ht="14.1" customHeight="1">
      <c r="A184" s="409">
        <v>173</v>
      </c>
      <c r="B184" s="419" t="s">
        <v>883</v>
      </c>
      <c r="C184" s="391" t="s">
        <v>884</v>
      </c>
      <c r="D184" s="390" t="s">
        <v>488</v>
      </c>
      <c r="E184" s="393">
        <v>1</v>
      </c>
      <c r="F184" s="393">
        <v>3.9</v>
      </c>
      <c r="G184" s="393"/>
      <c r="H184" s="393"/>
      <c r="I184" s="393">
        <v>1</v>
      </c>
      <c r="J184" s="393">
        <v>3.9</v>
      </c>
      <c r="K184" s="390"/>
      <c r="L184" s="390"/>
      <c r="M184" s="404"/>
      <c r="N184" s="396"/>
      <c r="O184" s="397"/>
    </row>
    <row r="185" spans="1:15" s="240" customFormat="1" ht="14.1" customHeight="1">
      <c r="A185" s="409">
        <v>174</v>
      </c>
      <c r="B185" s="419" t="s">
        <v>885</v>
      </c>
      <c r="C185" s="391" t="s">
        <v>886</v>
      </c>
      <c r="D185" s="390" t="s">
        <v>488</v>
      </c>
      <c r="E185" s="393">
        <v>1</v>
      </c>
      <c r="F185" s="393">
        <v>3.3</v>
      </c>
      <c r="G185" s="393"/>
      <c r="H185" s="393"/>
      <c r="I185" s="393">
        <v>1</v>
      </c>
      <c r="J185" s="393">
        <v>3.3</v>
      </c>
      <c r="K185" s="390"/>
      <c r="L185" s="390"/>
      <c r="M185" s="404"/>
      <c r="N185" s="396"/>
      <c r="O185" s="397"/>
    </row>
    <row r="186" spans="1:15" s="240" customFormat="1" ht="14.1" customHeight="1">
      <c r="A186" s="409">
        <v>175</v>
      </c>
      <c r="B186" s="419" t="s">
        <v>887</v>
      </c>
      <c r="C186" s="391" t="s">
        <v>888</v>
      </c>
      <c r="D186" s="390" t="s">
        <v>488</v>
      </c>
      <c r="E186" s="393">
        <v>1</v>
      </c>
      <c r="F186" s="393">
        <v>2.6</v>
      </c>
      <c r="G186" s="393"/>
      <c r="H186" s="393"/>
      <c r="I186" s="393">
        <v>1</v>
      </c>
      <c r="J186" s="393">
        <v>2.6</v>
      </c>
      <c r="K186" s="390"/>
      <c r="L186" s="390"/>
      <c r="M186" s="404"/>
      <c r="N186" s="396"/>
      <c r="O186" s="397"/>
    </row>
    <row r="187" spans="1:15" s="240" customFormat="1" ht="14.1" customHeight="1">
      <c r="A187" s="409">
        <v>176</v>
      </c>
      <c r="B187" s="419" t="s">
        <v>889</v>
      </c>
      <c r="C187" s="391" t="s">
        <v>890</v>
      </c>
      <c r="D187" s="390" t="s">
        <v>488</v>
      </c>
      <c r="E187" s="393">
        <v>1</v>
      </c>
      <c r="F187" s="393">
        <v>2.8</v>
      </c>
      <c r="G187" s="393"/>
      <c r="H187" s="393"/>
      <c r="I187" s="393">
        <v>1</v>
      </c>
      <c r="J187" s="393">
        <v>2.8</v>
      </c>
      <c r="K187" s="390"/>
      <c r="L187" s="390"/>
      <c r="M187" s="404"/>
      <c r="N187" s="396"/>
      <c r="O187" s="397"/>
    </row>
    <row r="188" spans="1:15" s="240" customFormat="1" ht="14.1" customHeight="1">
      <c r="A188" s="409">
        <v>178</v>
      </c>
      <c r="B188" s="419" t="s">
        <v>891</v>
      </c>
      <c r="C188" s="391" t="s">
        <v>892</v>
      </c>
      <c r="D188" s="390" t="s">
        <v>488</v>
      </c>
      <c r="E188" s="393">
        <v>1</v>
      </c>
      <c r="F188" s="393">
        <v>2.4</v>
      </c>
      <c r="G188" s="393"/>
      <c r="H188" s="393"/>
      <c r="I188" s="393">
        <v>1</v>
      </c>
      <c r="J188" s="393">
        <v>2.4</v>
      </c>
      <c r="K188" s="390"/>
      <c r="L188" s="390"/>
      <c r="M188" s="404"/>
      <c r="N188" s="396"/>
      <c r="O188" s="397"/>
    </row>
    <row r="189" spans="1:15" s="240" customFormat="1" ht="14.1" customHeight="1">
      <c r="A189" s="409">
        <v>179</v>
      </c>
      <c r="B189" s="419" t="s">
        <v>893</v>
      </c>
      <c r="C189" s="391" t="s">
        <v>894</v>
      </c>
      <c r="D189" s="390" t="s">
        <v>488</v>
      </c>
      <c r="E189" s="393">
        <v>1</v>
      </c>
      <c r="F189" s="393">
        <v>2.7</v>
      </c>
      <c r="G189" s="393"/>
      <c r="H189" s="393"/>
      <c r="I189" s="393">
        <v>1</v>
      </c>
      <c r="J189" s="393">
        <v>2.7</v>
      </c>
      <c r="K189" s="390"/>
      <c r="L189" s="390"/>
      <c r="M189" s="404"/>
      <c r="N189" s="396"/>
      <c r="O189" s="397"/>
    </row>
    <row r="190" spans="1:15" s="240" customFormat="1" ht="14.1" customHeight="1">
      <c r="A190" s="409">
        <v>180</v>
      </c>
      <c r="B190" s="419" t="s">
        <v>692</v>
      </c>
      <c r="C190" s="391" t="s">
        <v>895</v>
      </c>
      <c r="D190" s="390" t="s">
        <v>488</v>
      </c>
      <c r="E190" s="393">
        <v>1</v>
      </c>
      <c r="F190" s="393">
        <v>2.4</v>
      </c>
      <c r="G190" s="393"/>
      <c r="H190" s="393"/>
      <c r="I190" s="393"/>
      <c r="J190" s="393"/>
      <c r="K190" s="390"/>
      <c r="L190" s="390"/>
      <c r="M190" s="404"/>
      <c r="N190" s="396"/>
      <c r="O190" s="397"/>
    </row>
    <row r="191" spans="1:15" s="240" customFormat="1" ht="14.1" customHeight="1">
      <c r="A191" s="409">
        <v>181</v>
      </c>
      <c r="B191" s="419" t="s">
        <v>896</v>
      </c>
      <c r="C191" s="391" t="s">
        <v>897</v>
      </c>
      <c r="D191" s="390" t="s">
        <v>488</v>
      </c>
      <c r="E191" s="393">
        <v>1</v>
      </c>
      <c r="F191" s="393">
        <v>2.8</v>
      </c>
      <c r="G191" s="393"/>
      <c r="H191" s="393"/>
      <c r="I191" s="393">
        <v>1</v>
      </c>
      <c r="J191" s="393">
        <v>2.8</v>
      </c>
      <c r="K191" s="390"/>
      <c r="L191" s="390"/>
      <c r="M191" s="404"/>
      <c r="N191" s="396"/>
      <c r="O191" s="397"/>
    </row>
    <row r="192" spans="1:15" s="240" customFormat="1" ht="14.1" customHeight="1">
      <c r="A192" s="409">
        <v>182</v>
      </c>
      <c r="B192" s="419" t="s">
        <v>898</v>
      </c>
      <c r="C192" s="391" t="s">
        <v>899</v>
      </c>
      <c r="D192" s="390" t="s">
        <v>488</v>
      </c>
      <c r="E192" s="393">
        <v>1</v>
      </c>
      <c r="F192" s="393">
        <v>3.1</v>
      </c>
      <c r="G192" s="393"/>
      <c r="H192" s="393"/>
      <c r="I192" s="393">
        <v>1</v>
      </c>
      <c r="J192" s="393">
        <v>3.1</v>
      </c>
      <c r="K192" s="390"/>
      <c r="L192" s="390"/>
      <c r="M192" s="404"/>
      <c r="N192" s="396"/>
      <c r="O192" s="397"/>
    </row>
    <row r="193" spans="1:15" s="240" customFormat="1" ht="14.1" customHeight="1">
      <c r="A193" s="409">
        <v>183</v>
      </c>
      <c r="B193" s="419" t="s">
        <v>692</v>
      </c>
      <c r="C193" s="391" t="s">
        <v>900</v>
      </c>
      <c r="D193" s="390" t="s">
        <v>488</v>
      </c>
      <c r="E193" s="393">
        <v>1</v>
      </c>
      <c r="F193" s="393">
        <v>3.2</v>
      </c>
      <c r="G193" s="393"/>
      <c r="H193" s="393"/>
      <c r="I193" s="393">
        <v>1</v>
      </c>
      <c r="J193" s="393">
        <v>3.2</v>
      </c>
      <c r="K193" s="390"/>
      <c r="L193" s="390"/>
      <c r="M193" s="404"/>
      <c r="N193" s="396"/>
      <c r="O193" s="397"/>
    </row>
    <row r="194" spans="1:15" s="240" customFormat="1" ht="14.1" customHeight="1">
      <c r="A194" s="409">
        <v>184</v>
      </c>
      <c r="B194" s="419" t="s">
        <v>901</v>
      </c>
      <c r="C194" s="391" t="s">
        <v>902</v>
      </c>
      <c r="D194" s="390" t="s">
        <v>488</v>
      </c>
      <c r="E194" s="393">
        <v>1</v>
      </c>
      <c r="F194" s="393">
        <v>3.3</v>
      </c>
      <c r="G194" s="393"/>
      <c r="H194" s="393"/>
      <c r="I194" s="393">
        <v>1</v>
      </c>
      <c r="J194" s="393">
        <v>3.3</v>
      </c>
      <c r="K194" s="390"/>
      <c r="L194" s="390"/>
      <c r="M194" s="404"/>
      <c r="N194" s="396"/>
      <c r="O194" s="397"/>
    </row>
    <row r="195" spans="1:15" s="240" customFormat="1" ht="14.1" customHeight="1">
      <c r="A195" s="409">
        <v>185</v>
      </c>
      <c r="B195" s="419" t="s">
        <v>903</v>
      </c>
      <c r="C195" s="391" t="s">
        <v>904</v>
      </c>
      <c r="D195" s="390" t="s">
        <v>488</v>
      </c>
      <c r="E195" s="393">
        <v>1</v>
      </c>
      <c r="F195" s="393">
        <v>3.6</v>
      </c>
      <c r="G195" s="393"/>
      <c r="H195" s="393"/>
      <c r="I195" s="393">
        <v>1</v>
      </c>
      <c r="J195" s="393">
        <v>3.6</v>
      </c>
      <c r="K195" s="390"/>
      <c r="L195" s="390"/>
      <c r="M195" s="404"/>
      <c r="N195" s="396"/>
      <c r="O195" s="397"/>
    </row>
    <row r="196" spans="1:15" s="240" customFormat="1" ht="14.1" customHeight="1">
      <c r="A196" s="409">
        <v>186</v>
      </c>
      <c r="B196" s="419" t="s">
        <v>905</v>
      </c>
      <c r="C196" s="391" t="s">
        <v>906</v>
      </c>
      <c r="D196" s="390" t="s">
        <v>488</v>
      </c>
      <c r="E196" s="393">
        <v>1</v>
      </c>
      <c r="F196" s="393">
        <v>2.4</v>
      </c>
      <c r="G196" s="393"/>
      <c r="H196" s="393"/>
      <c r="I196" s="393">
        <v>1</v>
      </c>
      <c r="J196" s="393">
        <v>2.4</v>
      </c>
      <c r="K196" s="390"/>
      <c r="L196" s="390"/>
      <c r="M196" s="404"/>
      <c r="N196" s="396"/>
      <c r="O196" s="397"/>
    </row>
    <row r="197" spans="1:15" s="240" customFormat="1" ht="14.1" customHeight="1">
      <c r="A197" s="409">
        <v>187</v>
      </c>
      <c r="B197" s="419" t="s">
        <v>907</v>
      </c>
      <c r="C197" s="422" t="s">
        <v>908</v>
      </c>
      <c r="D197" s="390" t="s">
        <v>488</v>
      </c>
      <c r="E197" s="393">
        <v>1</v>
      </c>
      <c r="F197" s="393">
        <v>3</v>
      </c>
      <c r="G197" s="393"/>
      <c r="H197" s="393"/>
      <c r="I197" s="393"/>
      <c r="J197" s="393"/>
      <c r="K197" s="390"/>
      <c r="L197" s="390"/>
      <c r="M197" s="404" t="s">
        <v>765</v>
      </c>
      <c r="N197" s="396"/>
      <c r="O197" s="397"/>
    </row>
    <row r="198" spans="1:15" s="240" customFormat="1" ht="14.1" customHeight="1">
      <c r="A198" s="409">
        <v>188</v>
      </c>
      <c r="B198" s="419" t="s">
        <v>909</v>
      </c>
      <c r="C198" s="391" t="s">
        <v>910</v>
      </c>
      <c r="D198" s="390" t="s">
        <v>488</v>
      </c>
      <c r="E198" s="393">
        <v>1</v>
      </c>
      <c r="F198" s="393">
        <v>1.9</v>
      </c>
      <c r="G198" s="393"/>
      <c r="H198" s="393"/>
      <c r="I198" s="393">
        <v>1</v>
      </c>
      <c r="J198" s="393">
        <v>1.9</v>
      </c>
      <c r="K198" s="390"/>
      <c r="L198" s="390"/>
      <c r="M198" s="404"/>
      <c r="N198" s="396"/>
      <c r="O198" s="397"/>
    </row>
    <row r="199" spans="1:15" s="240" customFormat="1" ht="14.1" customHeight="1">
      <c r="A199" s="409">
        <v>189</v>
      </c>
      <c r="B199" s="419" t="s">
        <v>911</v>
      </c>
      <c r="C199" s="391" t="s">
        <v>912</v>
      </c>
      <c r="D199" s="390" t="s">
        <v>488</v>
      </c>
      <c r="E199" s="393">
        <v>1</v>
      </c>
      <c r="F199" s="393">
        <v>2.9</v>
      </c>
      <c r="G199" s="393"/>
      <c r="H199" s="393"/>
      <c r="I199" s="393">
        <v>1</v>
      </c>
      <c r="J199" s="393">
        <v>2.9</v>
      </c>
      <c r="K199" s="390"/>
      <c r="L199" s="390"/>
      <c r="M199" s="404"/>
      <c r="N199" s="396"/>
      <c r="O199" s="397"/>
    </row>
    <row r="200" spans="1:15" s="240" customFormat="1" ht="14.1" customHeight="1">
      <c r="A200" s="409">
        <v>190</v>
      </c>
      <c r="B200" s="419" t="s">
        <v>913</v>
      </c>
      <c r="C200" s="391" t="s">
        <v>914</v>
      </c>
      <c r="D200" s="390" t="s">
        <v>488</v>
      </c>
      <c r="E200" s="393">
        <v>1</v>
      </c>
      <c r="F200" s="393">
        <v>3.4</v>
      </c>
      <c r="G200" s="393"/>
      <c r="H200" s="393"/>
      <c r="I200" s="393">
        <v>1</v>
      </c>
      <c r="J200" s="393">
        <v>3.4</v>
      </c>
      <c r="K200" s="390"/>
      <c r="L200" s="390"/>
      <c r="M200" s="404"/>
      <c r="N200" s="396"/>
      <c r="O200" s="397"/>
    </row>
    <row r="201" spans="1:15" s="240" customFormat="1" ht="14.1" customHeight="1">
      <c r="A201" s="409">
        <v>191</v>
      </c>
      <c r="B201" s="419" t="s">
        <v>915</v>
      </c>
      <c r="C201" s="391" t="s">
        <v>916</v>
      </c>
      <c r="D201" s="390" t="s">
        <v>488</v>
      </c>
      <c r="E201" s="393">
        <v>1</v>
      </c>
      <c r="F201" s="393">
        <v>4.7</v>
      </c>
      <c r="G201" s="393"/>
      <c r="H201" s="393"/>
      <c r="I201" s="393">
        <v>1</v>
      </c>
      <c r="J201" s="393">
        <v>4.7</v>
      </c>
      <c r="K201" s="390"/>
      <c r="L201" s="390"/>
      <c r="M201" s="404"/>
      <c r="N201" s="396"/>
      <c r="O201" s="397"/>
    </row>
    <row r="202" spans="1:15" s="240" customFormat="1" ht="14.1" customHeight="1">
      <c r="A202" s="409">
        <v>192</v>
      </c>
      <c r="B202" s="419" t="s">
        <v>917</v>
      </c>
      <c r="C202" s="391" t="s">
        <v>918</v>
      </c>
      <c r="D202" s="390" t="s">
        <v>488</v>
      </c>
      <c r="E202" s="393">
        <v>1</v>
      </c>
      <c r="F202" s="393">
        <v>3.9</v>
      </c>
      <c r="G202" s="393"/>
      <c r="H202" s="393"/>
      <c r="I202" s="393">
        <v>1</v>
      </c>
      <c r="J202" s="393">
        <v>3.9</v>
      </c>
      <c r="K202" s="390"/>
      <c r="L202" s="390"/>
      <c r="M202" s="404"/>
      <c r="N202" s="396"/>
      <c r="O202" s="397"/>
    </row>
    <row r="203" spans="1:15" s="240" customFormat="1" ht="14.1" customHeight="1">
      <c r="A203" s="409">
        <v>193</v>
      </c>
      <c r="B203" s="419" t="s">
        <v>919</v>
      </c>
      <c r="C203" s="391" t="s">
        <v>920</v>
      </c>
      <c r="D203" s="390" t="s">
        <v>488</v>
      </c>
      <c r="E203" s="393">
        <v>1</v>
      </c>
      <c r="F203" s="393">
        <v>2.5</v>
      </c>
      <c r="G203" s="393"/>
      <c r="H203" s="393"/>
      <c r="I203" s="393">
        <v>1</v>
      </c>
      <c r="J203" s="393">
        <v>2.5</v>
      </c>
      <c r="K203" s="390"/>
      <c r="L203" s="390"/>
      <c r="M203" s="404"/>
      <c r="N203" s="396"/>
      <c r="O203" s="397"/>
    </row>
    <row r="204" spans="1:15" s="240" customFormat="1" ht="14.1" customHeight="1">
      <c r="A204" s="409">
        <v>194</v>
      </c>
      <c r="B204" s="419" t="s">
        <v>921</v>
      </c>
      <c r="C204" s="391" t="s">
        <v>922</v>
      </c>
      <c r="D204" s="390" t="s">
        <v>488</v>
      </c>
      <c r="E204" s="393">
        <v>1</v>
      </c>
      <c r="F204" s="393">
        <v>5.3</v>
      </c>
      <c r="G204" s="393"/>
      <c r="H204" s="393"/>
      <c r="I204" s="393">
        <v>1</v>
      </c>
      <c r="J204" s="393">
        <v>5.3</v>
      </c>
      <c r="K204" s="390"/>
      <c r="L204" s="390"/>
      <c r="M204" s="404"/>
      <c r="N204" s="396"/>
      <c r="O204" s="397"/>
    </row>
    <row r="205" spans="1:15" s="240" customFormat="1" ht="14.1" customHeight="1">
      <c r="A205" s="409">
        <v>195</v>
      </c>
      <c r="B205" s="419" t="s">
        <v>923</v>
      </c>
      <c r="C205" s="391" t="s">
        <v>924</v>
      </c>
      <c r="D205" s="390" t="s">
        <v>488</v>
      </c>
      <c r="E205" s="393">
        <v>1</v>
      </c>
      <c r="F205" s="393">
        <v>2.8</v>
      </c>
      <c r="G205" s="393"/>
      <c r="H205" s="393"/>
      <c r="I205" s="393">
        <v>1</v>
      </c>
      <c r="J205" s="393">
        <v>2.8</v>
      </c>
      <c r="K205" s="390"/>
      <c r="L205" s="390"/>
      <c r="M205" s="404"/>
      <c r="N205" s="396"/>
      <c r="O205" s="397"/>
    </row>
    <row r="206" spans="1:15" s="240" customFormat="1" ht="14.1" customHeight="1">
      <c r="A206" s="409">
        <v>196</v>
      </c>
      <c r="B206" s="419" t="s">
        <v>925</v>
      </c>
      <c r="C206" s="422" t="s">
        <v>926</v>
      </c>
      <c r="D206" s="390" t="s">
        <v>488</v>
      </c>
      <c r="E206" s="393">
        <v>1</v>
      </c>
      <c r="F206" s="393">
        <v>2.2999999999999998</v>
      </c>
      <c r="G206" s="393"/>
      <c r="H206" s="393"/>
      <c r="I206" s="393">
        <v>1</v>
      </c>
      <c r="J206" s="393">
        <v>2.2999999999999998</v>
      </c>
      <c r="K206" s="390"/>
      <c r="L206" s="390"/>
      <c r="M206" s="404"/>
      <c r="N206" s="396"/>
      <c r="O206" s="397"/>
    </row>
    <row r="207" spans="1:15" s="240" customFormat="1" ht="14.1" customHeight="1">
      <c r="A207" s="409">
        <v>197</v>
      </c>
      <c r="B207" s="419" t="s">
        <v>927</v>
      </c>
      <c r="C207" s="422" t="s">
        <v>928</v>
      </c>
      <c r="D207" s="390" t="s">
        <v>488</v>
      </c>
      <c r="E207" s="393">
        <v>1</v>
      </c>
      <c r="F207" s="393">
        <v>2.6</v>
      </c>
      <c r="G207" s="393"/>
      <c r="H207" s="393"/>
      <c r="I207" s="393">
        <v>1</v>
      </c>
      <c r="J207" s="393">
        <v>2.6</v>
      </c>
      <c r="K207" s="390"/>
      <c r="L207" s="390"/>
      <c r="M207" s="404"/>
      <c r="N207" s="396"/>
      <c r="O207" s="397"/>
    </row>
    <row r="208" spans="1:15" s="240" customFormat="1" ht="14.1" customHeight="1">
      <c r="A208" s="409">
        <v>198</v>
      </c>
      <c r="B208" s="419" t="s">
        <v>929</v>
      </c>
      <c r="C208" s="422" t="s">
        <v>930</v>
      </c>
      <c r="D208" s="390" t="s">
        <v>488</v>
      </c>
      <c r="E208" s="393">
        <v>1</v>
      </c>
      <c r="F208" s="393">
        <v>2.9</v>
      </c>
      <c r="G208" s="393"/>
      <c r="H208" s="393"/>
      <c r="I208" s="393">
        <v>1</v>
      </c>
      <c r="J208" s="393">
        <v>2.9</v>
      </c>
      <c r="K208" s="390"/>
      <c r="L208" s="390"/>
      <c r="M208" s="404"/>
      <c r="N208" s="396"/>
      <c r="O208" s="397"/>
    </row>
    <row r="209" spans="1:15" s="240" customFormat="1" ht="14.1" customHeight="1">
      <c r="A209" s="409">
        <v>199</v>
      </c>
      <c r="B209" s="419" t="s">
        <v>931</v>
      </c>
      <c r="C209" s="422" t="s">
        <v>932</v>
      </c>
      <c r="D209" s="390" t="s">
        <v>488</v>
      </c>
      <c r="E209" s="393">
        <v>1</v>
      </c>
      <c r="F209" s="393">
        <v>2.4</v>
      </c>
      <c r="G209" s="393"/>
      <c r="H209" s="393"/>
      <c r="I209" s="393">
        <v>1</v>
      </c>
      <c r="J209" s="393">
        <v>2.4</v>
      </c>
      <c r="K209" s="390"/>
      <c r="L209" s="390"/>
      <c r="M209" s="404"/>
      <c r="N209" s="396"/>
      <c r="O209" s="397"/>
    </row>
    <row r="210" spans="1:15" s="240" customFormat="1" ht="14.1" customHeight="1">
      <c r="A210" s="409">
        <v>200</v>
      </c>
      <c r="B210" s="419" t="s">
        <v>933</v>
      </c>
      <c r="C210" s="391" t="s">
        <v>934</v>
      </c>
      <c r="D210" s="390" t="s">
        <v>488</v>
      </c>
      <c r="E210" s="393">
        <v>1</v>
      </c>
      <c r="F210" s="393">
        <v>2.5</v>
      </c>
      <c r="G210" s="393"/>
      <c r="H210" s="393"/>
      <c r="I210" s="393">
        <v>1</v>
      </c>
      <c r="J210" s="393">
        <v>2.5</v>
      </c>
      <c r="K210" s="390"/>
      <c r="L210" s="390"/>
      <c r="M210" s="404"/>
      <c r="N210" s="396"/>
      <c r="O210" s="397"/>
    </row>
    <row r="211" spans="1:15" s="240" customFormat="1" ht="14.1" customHeight="1">
      <c r="A211" s="409">
        <v>201</v>
      </c>
      <c r="B211" s="419" t="s">
        <v>935</v>
      </c>
      <c r="C211" s="391" t="s">
        <v>936</v>
      </c>
      <c r="D211" s="390" t="s">
        <v>488</v>
      </c>
      <c r="E211" s="393">
        <v>1</v>
      </c>
      <c r="F211" s="393">
        <v>2.7</v>
      </c>
      <c r="G211" s="393"/>
      <c r="H211" s="393"/>
      <c r="I211" s="393">
        <v>1</v>
      </c>
      <c r="J211" s="393">
        <v>2.7</v>
      </c>
      <c r="K211" s="390"/>
      <c r="L211" s="390"/>
      <c r="M211" s="404"/>
      <c r="N211" s="396"/>
      <c r="O211" s="397"/>
    </row>
    <row r="212" spans="1:15" s="240" customFormat="1" ht="14.1" customHeight="1">
      <c r="A212" s="409">
        <v>202</v>
      </c>
      <c r="B212" s="419" t="s">
        <v>937</v>
      </c>
      <c r="C212" s="391" t="s">
        <v>938</v>
      </c>
      <c r="D212" s="390" t="s">
        <v>488</v>
      </c>
      <c r="E212" s="393">
        <v>1</v>
      </c>
      <c r="F212" s="393">
        <v>3</v>
      </c>
      <c r="G212" s="393"/>
      <c r="H212" s="393"/>
      <c r="I212" s="393">
        <v>1</v>
      </c>
      <c r="J212" s="393">
        <v>3</v>
      </c>
      <c r="K212" s="390"/>
      <c r="L212" s="390"/>
      <c r="M212" s="404"/>
      <c r="N212" s="396"/>
      <c r="O212" s="397"/>
    </row>
    <row r="213" spans="1:15" s="240" customFormat="1" ht="14.1" customHeight="1">
      <c r="A213" s="409">
        <v>203</v>
      </c>
      <c r="B213" s="419" t="s">
        <v>939</v>
      </c>
      <c r="C213" s="391" t="s">
        <v>940</v>
      </c>
      <c r="D213" s="390" t="s">
        <v>488</v>
      </c>
      <c r="E213" s="393">
        <v>1</v>
      </c>
      <c r="F213" s="393">
        <v>9.9</v>
      </c>
      <c r="G213" s="393"/>
      <c r="H213" s="393"/>
      <c r="I213" s="393">
        <v>1</v>
      </c>
      <c r="J213" s="393">
        <v>9.9</v>
      </c>
      <c r="K213" s="390"/>
      <c r="L213" s="390"/>
      <c r="M213" s="404"/>
      <c r="N213" s="396"/>
      <c r="O213" s="397"/>
    </row>
    <row r="214" spans="1:15" s="240" customFormat="1" ht="14.1" customHeight="1">
      <c r="A214" s="409">
        <v>204</v>
      </c>
      <c r="B214" s="419" t="s">
        <v>941</v>
      </c>
      <c r="C214" s="391" t="s">
        <v>942</v>
      </c>
      <c r="D214" s="390" t="s">
        <v>488</v>
      </c>
      <c r="E214" s="393">
        <v>1</v>
      </c>
      <c r="F214" s="393">
        <v>3.8</v>
      </c>
      <c r="G214" s="393"/>
      <c r="H214" s="393"/>
      <c r="I214" s="393">
        <v>1</v>
      </c>
      <c r="J214" s="393">
        <v>3.8</v>
      </c>
      <c r="K214" s="390"/>
      <c r="L214" s="390"/>
      <c r="M214" s="404"/>
      <c r="N214" s="396"/>
      <c r="O214" s="397"/>
    </row>
    <row r="215" spans="1:15" s="240" customFormat="1" ht="14.1" customHeight="1">
      <c r="A215" s="409">
        <v>205</v>
      </c>
      <c r="B215" s="419" t="s">
        <v>692</v>
      </c>
      <c r="C215" s="391" t="s">
        <v>943</v>
      </c>
      <c r="D215" s="390" t="s">
        <v>488</v>
      </c>
      <c r="E215" s="393">
        <v>1</v>
      </c>
      <c r="F215" s="393">
        <v>2.8</v>
      </c>
      <c r="G215" s="393"/>
      <c r="H215" s="393"/>
      <c r="I215" s="393">
        <v>1</v>
      </c>
      <c r="J215" s="393">
        <v>2.8</v>
      </c>
      <c r="K215" s="390"/>
      <c r="L215" s="390"/>
      <c r="M215" s="404"/>
      <c r="N215" s="396"/>
      <c r="O215" s="397"/>
    </row>
    <row r="216" spans="1:15" s="240" customFormat="1" ht="14.1" customHeight="1">
      <c r="A216" s="409">
        <v>206</v>
      </c>
      <c r="B216" s="419" t="s">
        <v>944</v>
      </c>
      <c r="C216" s="391" t="s">
        <v>945</v>
      </c>
      <c r="D216" s="390" t="s">
        <v>488</v>
      </c>
      <c r="E216" s="393">
        <v>1</v>
      </c>
      <c r="F216" s="393">
        <v>4.2</v>
      </c>
      <c r="G216" s="393"/>
      <c r="H216" s="393"/>
      <c r="I216" s="393">
        <v>1</v>
      </c>
      <c r="J216" s="393">
        <v>4.2</v>
      </c>
      <c r="K216" s="390"/>
      <c r="L216" s="390"/>
      <c r="M216" s="404"/>
      <c r="N216" s="396"/>
      <c r="O216" s="397"/>
    </row>
    <row r="217" spans="1:15" s="240" customFormat="1" ht="14.1" customHeight="1">
      <c r="A217" s="409">
        <v>207</v>
      </c>
      <c r="B217" s="419" t="s">
        <v>946</v>
      </c>
      <c r="C217" s="391" t="s">
        <v>947</v>
      </c>
      <c r="D217" s="390" t="s">
        <v>488</v>
      </c>
      <c r="E217" s="393">
        <v>1</v>
      </c>
      <c r="F217" s="393">
        <v>3.1</v>
      </c>
      <c r="G217" s="393"/>
      <c r="H217" s="393"/>
      <c r="I217" s="393">
        <v>1</v>
      </c>
      <c r="J217" s="393">
        <v>3.1</v>
      </c>
      <c r="K217" s="390"/>
      <c r="L217" s="390"/>
      <c r="M217" s="404"/>
      <c r="N217" s="396"/>
      <c r="O217" s="397"/>
    </row>
    <row r="218" spans="1:15" s="240" customFormat="1" ht="14.1" customHeight="1">
      <c r="A218" s="409">
        <v>208</v>
      </c>
      <c r="B218" s="419" t="s">
        <v>948</v>
      </c>
      <c r="C218" s="391" t="s">
        <v>949</v>
      </c>
      <c r="D218" s="390" t="s">
        <v>488</v>
      </c>
      <c r="E218" s="393">
        <v>1</v>
      </c>
      <c r="F218" s="393">
        <v>2.4</v>
      </c>
      <c r="G218" s="393"/>
      <c r="H218" s="393"/>
      <c r="I218" s="393">
        <v>1</v>
      </c>
      <c r="J218" s="393">
        <v>2.4</v>
      </c>
      <c r="K218" s="390"/>
      <c r="L218" s="390"/>
      <c r="M218" s="404"/>
      <c r="N218" s="396"/>
      <c r="O218" s="397"/>
    </row>
    <row r="219" spans="1:15" s="240" customFormat="1" ht="14.1" customHeight="1">
      <c r="A219" s="409">
        <v>209</v>
      </c>
      <c r="B219" s="419" t="s">
        <v>950</v>
      </c>
      <c r="C219" s="391" t="s">
        <v>951</v>
      </c>
      <c r="D219" s="390" t="s">
        <v>488</v>
      </c>
      <c r="E219" s="393">
        <v>1</v>
      </c>
      <c r="F219" s="393">
        <v>2.4</v>
      </c>
      <c r="G219" s="393"/>
      <c r="H219" s="393"/>
      <c r="I219" s="393">
        <v>1</v>
      </c>
      <c r="J219" s="393">
        <v>2.4</v>
      </c>
      <c r="K219" s="390"/>
      <c r="L219" s="390"/>
      <c r="M219" s="404"/>
      <c r="N219" s="396"/>
      <c r="O219" s="397"/>
    </row>
    <row r="220" spans="1:15" s="240" customFormat="1" ht="14.1" customHeight="1">
      <c r="A220" s="409">
        <v>210</v>
      </c>
      <c r="B220" s="419" t="s">
        <v>952</v>
      </c>
      <c r="C220" s="391" t="s">
        <v>953</v>
      </c>
      <c r="D220" s="390" t="s">
        <v>488</v>
      </c>
      <c r="E220" s="393">
        <v>1</v>
      </c>
      <c r="F220" s="393">
        <v>2.5</v>
      </c>
      <c r="G220" s="393"/>
      <c r="H220" s="393"/>
      <c r="I220" s="393">
        <v>1</v>
      </c>
      <c r="J220" s="393">
        <v>2.5</v>
      </c>
      <c r="K220" s="390"/>
      <c r="L220" s="390"/>
      <c r="M220" s="404"/>
      <c r="N220" s="396"/>
      <c r="O220" s="397"/>
    </row>
    <row r="221" spans="1:15" s="240" customFormat="1" ht="14.1" customHeight="1">
      <c r="A221" s="409">
        <v>211</v>
      </c>
      <c r="B221" s="419" t="s">
        <v>692</v>
      </c>
      <c r="C221" s="391" t="s">
        <v>954</v>
      </c>
      <c r="D221" s="390" t="s">
        <v>488</v>
      </c>
      <c r="E221" s="393">
        <v>1</v>
      </c>
      <c r="F221" s="393">
        <v>2.9</v>
      </c>
      <c r="G221" s="393"/>
      <c r="H221" s="393"/>
      <c r="I221" s="393">
        <v>1</v>
      </c>
      <c r="J221" s="393">
        <v>2.9</v>
      </c>
      <c r="K221" s="390"/>
      <c r="L221" s="390"/>
      <c r="M221" s="404"/>
      <c r="N221" s="396"/>
      <c r="O221" s="397"/>
    </row>
    <row r="222" spans="1:15" s="240" customFormat="1" ht="14.1" customHeight="1">
      <c r="A222" s="409">
        <v>212</v>
      </c>
      <c r="B222" s="419" t="s">
        <v>692</v>
      </c>
      <c r="C222" s="391" t="s">
        <v>955</v>
      </c>
      <c r="D222" s="390" t="s">
        <v>488</v>
      </c>
      <c r="E222" s="393">
        <v>1</v>
      </c>
      <c r="F222" s="393">
        <v>9.3000000000000007</v>
      </c>
      <c r="G222" s="393"/>
      <c r="H222" s="393"/>
      <c r="I222" s="393">
        <v>1</v>
      </c>
      <c r="J222" s="393">
        <v>9.3000000000000007</v>
      </c>
      <c r="K222" s="390"/>
      <c r="L222" s="390"/>
      <c r="M222" s="404"/>
      <c r="N222" s="396"/>
      <c r="O222" s="397"/>
    </row>
    <row r="223" spans="1:15">
      <c r="A223" s="305"/>
      <c r="B223" s="331"/>
      <c r="C223" s="420"/>
      <c r="D223" s="421"/>
      <c r="E223" s="235"/>
      <c r="F223" s="235"/>
      <c r="G223" s="175"/>
      <c r="H223" s="175"/>
      <c r="I223" s="235"/>
      <c r="J223" s="235"/>
      <c r="K223" s="175"/>
      <c r="L223" s="175"/>
      <c r="M223" s="303"/>
      <c r="N223" s="379"/>
      <c r="O223" s="379"/>
    </row>
    <row r="224" spans="1:15">
      <c r="A224" s="787" t="s">
        <v>326</v>
      </c>
      <c r="B224" s="787"/>
      <c r="C224" s="787"/>
      <c r="D224" s="787"/>
      <c r="E224" s="173"/>
      <c r="F224" s="173"/>
      <c r="G224" s="173"/>
      <c r="H224" s="173"/>
      <c r="I224" s="173"/>
      <c r="J224" s="173"/>
      <c r="K224" s="173"/>
      <c r="L224" s="174"/>
      <c r="M224" s="303"/>
      <c r="O224" s="174" t="s">
        <v>294</v>
      </c>
    </row>
    <row r="225" spans="1:16">
      <c r="A225" s="780" t="s">
        <v>313</v>
      </c>
      <c r="B225" s="781" t="s">
        <v>314</v>
      </c>
      <c r="C225" s="781" t="s">
        <v>327</v>
      </c>
      <c r="D225" s="781" t="s">
        <v>316</v>
      </c>
      <c r="E225" s="781" t="s">
        <v>317</v>
      </c>
      <c r="F225" s="781"/>
      <c r="G225" s="781" t="s">
        <v>318</v>
      </c>
      <c r="H225" s="781"/>
      <c r="I225" s="781" t="s">
        <v>319</v>
      </c>
      <c r="J225" s="781"/>
      <c r="K225" s="781" t="s">
        <v>320</v>
      </c>
      <c r="L225" s="781"/>
      <c r="M225" s="416"/>
      <c r="N225" s="774" t="s">
        <v>322</v>
      </c>
      <c r="O225" s="775"/>
    </row>
    <row r="226" spans="1:16">
      <c r="A226" s="780"/>
      <c r="B226" s="781"/>
      <c r="C226" s="781"/>
      <c r="D226" s="781"/>
      <c r="E226" s="781"/>
      <c r="F226" s="781"/>
      <c r="G226" s="781"/>
      <c r="H226" s="781"/>
      <c r="I226" s="781"/>
      <c r="J226" s="781"/>
      <c r="K226" s="781"/>
      <c r="L226" s="781"/>
      <c r="M226" s="785" t="s">
        <v>321</v>
      </c>
      <c r="N226" s="776"/>
      <c r="O226" s="777"/>
    </row>
    <row r="227" spans="1:16" ht="25.5">
      <c r="A227" s="780"/>
      <c r="B227" s="781"/>
      <c r="C227" s="781"/>
      <c r="D227" s="781"/>
      <c r="E227" s="297" t="s">
        <v>323</v>
      </c>
      <c r="F227" s="297" t="s">
        <v>324</v>
      </c>
      <c r="G227" s="297" t="s">
        <v>323</v>
      </c>
      <c r="H227" s="297" t="s">
        <v>324</v>
      </c>
      <c r="I227" s="297" t="s">
        <v>323</v>
      </c>
      <c r="J227" s="297" t="s">
        <v>324</v>
      </c>
      <c r="K227" s="297" t="s">
        <v>323</v>
      </c>
      <c r="L227" s="297" t="s">
        <v>324</v>
      </c>
      <c r="M227" s="786"/>
      <c r="N227" s="297" t="s">
        <v>323</v>
      </c>
      <c r="O227" s="297" t="s">
        <v>324</v>
      </c>
    </row>
    <row r="228" spans="1:16">
      <c r="A228" s="463">
        <v>1</v>
      </c>
      <c r="B228" s="464">
        <v>2</v>
      </c>
      <c r="C228" s="464">
        <v>3</v>
      </c>
      <c r="D228" s="464">
        <v>4</v>
      </c>
      <c r="E228" s="464">
        <v>5</v>
      </c>
      <c r="F228" s="464">
        <v>6</v>
      </c>
      <c r="G228" s="464">
        <v>7</v>
      </c>
      <c r="H228" s="464">
        <v>8</v>
      </c>
      <c r="I228" s="464">
        <v>9</v>
      </c>
      <c r="J228" s="464">
        <v>10</v>
      </c>
      <c r="K228" s="464">
        <v>11</v>
      </c>
      <c r="L228" s="464">
        <v>12</v>
      </c>
      <c r="M228" s="418" t="s">
        <v>325</v>
      </c>
      <c r="N228" s="465">
        <v>14</v>
      </c>
      <c r="O228" s="465">
        <v>15</v>
      </c>
    </row>
    <row r="229" spans="1:16">
      <c r="A229" s="389" t="s">
        <v>489</v>
      </c>
      <c r="B229" s="390">
        <v>0</v>
      </c>
      <c r="C229" s="390">
        <v>0</v>
      </c>
      <c r="D229" s="390">
        <v>0</v>
      </c>
      <c r="E229" s="390">
        <v>0</v>
      </c>
      <c r="F229" s="390">
        <v>0</v>
      </c>
      <c r="G229" s="390">
        <v>0</v>
      </c>
      <c r="H229" s="390">
        <v>0</v>
      </c>
      <c r="I229" s="390">
        <v>0</v>
      </c>
      <c r="J229" s="390">
        <v>0</v>
      </c>
      <c r="K229" s="390">
        <v>0</v>
      </c>
      <c r="L229" s="390">
        <v>0</v>
      </c>
      <c r="M229" s="466">
        <v>0</v>
      </c>
      <c r="N229" s="401">
        <v>0</v>
      </c>
      <c r="O229" s="401">
        <v>0</v>
      </c>
    </row>
    <row r="230" spans="1:16">
      <c r="A230" s="467" t="s">
        <v>956</v>
      </c>
      <c r="B230" s="467"/>
      <c r="C230" s="467"/>
      <c r="D230" s="467"/>
      <c r="E230" s="467"/>
      <c r="F230" s="467"/>
      <c r="G230" s="468"/>
      <c r="H230" s="468"/>
      <c r="I230" s="468"/>
      <c r="J230" s="468"/>
      <c r="K230" s="468"/>
      <c r="L230" s="468"/>
      <c r="M230" s="411"/>
      <c r="N230" s="240"/>
      <c r="O230" s="240"/>
    </row>
    <row r="231" spans="1:16" ht="76.5">
      <c r="A231" s="469" t="s">
        <v>313</v>
      </c>
      <c r="B231" s="788" t="s">
        <v>314</v>
      </c>
      <c r="C231" s="788"/>
      <c r="D231" s="788" t="s">
        <v>957</v>
      </c>
      <c r="E231" s="788"/>
      <c r="F231" s="788"/>
      <c r="G231" s="788" t="s">
        <v>316</v>
      </c>
      <c r="H231" s="788"/>
      <c r="I231" s="788" t="s">
        <v>958</v>
      </c>
      <c r="J231" s="788"/>
      <c r="K231" s="788"/>
      <c r="L231" s="418" t="s">
        <v>321</v>
      </c>
      <c r="M231" s="470" t="s">
        <v>294</v>
      </c>
      <c r="N231" s="471"/>
      <c r="O231" s="471"/>
    </row>
    <row r="232" spans="1:16">
      <c r="A232" s="472">
        <v>1</v>
      </c>
      <c r="B232" s="789">
        <v>2</v>
      </c>
      <c r="C232" s="789"/>
      <c r="D232" s="789">
        <v>3</v>
      </c>
      <c r="E232" s="789"/>
      <c r="F232" s="789"/>
      <c r="G232" s="789">
        <v>4</v>
      </c>
      <c r="H232" s="789"/>
      <c r="I232" s="789">
        <v>5</v>
      </c>
      <c r="J232" s="789"/>
      <c r="K232" s="789"/>
      <c r="L232" s="473">
        <v>6</v>
      </c>
      <c r="M232" s="418"/>
      <c r="N232" s="471"/>
      <c r="O232" s="471"/>
    </row>
    <row r="233" spans="1:16">
      <c r="A233" s="472">
        <v>1</v>
      </c>
      <c r="B233" s="473"/>
      <c r="C233" s="473"/>
      <c r="D233" s="473"/>
      <c r="E233" s="473"/>
      <c r="F233" s="473"/>
      <c r="G233" s="473"/>
      <c r="H233" s="473"/>
      <c r="I233" s="473"/>
      <c r="J233" s="473"/>
      <c r="K233" s="473"/>
      <c r="L233" s="473"/>
      <c r="M233" s="418"/>
      <c r="N233" s="471"/>
      <c r="O233" s="471"/>
    </row>
    <row r="234" spans="1:16">
      <c r="A234" s="417">
        <v>2</v>
      </c>
      <c r="B234" s="474"/>
      <c r="C234" s="474"/>
      <c r="D234" s="474"/>
      <c r="E234" s="474"/>
      <c r="F234" s="474"/>
      <c r="G234" s="474"/>
      <c r="H234" s="474"/>
      <c r="I234" s="474"/>
      <c r="J234" s="474"/>
      <c r="K234" s="474"/>
      <c r="L234" s="474"/>
      <c r="M234" s="474"/>
      <c r="N234" s="471"/>
      <c r="O234" s="471"/>
    </row>
    <row r="235" spans="1:16">
      <c r="A235" s="380"/>
      <c r="B235" s="382"/>
      <c r="C235" s="382"/>
      <c r="D235" s="383"/>
      <c r="E235" s="381"/>
      <c r="F235" s="381"/>
      <c r="G235" s="383"/>
      <c r="H235" s="383"/>
      <c r="I235" s="383"/>
      <c r="J235" s="383"/>
      <c r="K235" s="383"/>
      <c r="L235" s="383"/>
      <c r="M235" s="380"/>
      <c r="N235" s="353"/>
      <c r="O235" s="353"/>
      <c r="P235" s="353"/>
    </row>
    <row r="236" spans="1:16" ht="18.75">
      <c r="A236" s="380"/>
      <c r="B236" s="93" t="s">
        <v>963</v>
      </c>
      <c r="C236" s="492" t="s">
        <v>290</v>
      </c>
      <c r="D236" s="492"/>
      <c r="E236" s="372"/>
      <c r="F236" s="95"/>
      <c r="G236" s="499" t="s">
        <v>959</v>
      </c>
      <c r="H236" s="499"/>
      <c r="I236" s="499"/>
      <c r="J236" s="381"/>
      <c r="K236" s="383"/>
      <c r="L236" s="383"/>
      <c r="M236" s="380"/>
      <c r="N236" s="353"/>
      <c r="O236" s="353"/>
      <c r="P236" s="353"/>
    </row>
    <row r="237" spans="1:16">
      <c r="A237" s="353"/>
      <c r="B237" s="111" t="s">
        <v>233</v>
      </c>
      <c r="C237" s="500" t="s">
        <v>232</v>
      </c>
      <c r="D237" s="500"/>
      <c r="E237" s="373"/>
      <c r="F237" s="112"/>
      <c r="G237" s="491" t="s">
        <v>84</v>
      </c>
      <c r="H237" s="491"/>
      <c r="I237" s="491"/>
      <c r="J237" s="353"/>
      <c r="K237" s="353"/>
      <c r="L237" s="353"/>
      <c r="M237" s="380"/>
      <c r="N237" s="353"/>
      <c r="O237" s="353"/>
      <c r="P237" s="353"/>
    </row>
    <row r="238" spans="1:16" ht="30">
      <c r="B238" s="374" t="s">
        <v>969</v>
      </c>
      <c r="C238" s="375"/>
      <c r="D238" s="375"/>
      <c r="E238" s="375"/>
      <c r="F238" s="375"/>
      <c r="G238" s="375"/>
      <c r="H238" s="375"/>
      <c r="I238" s="254"/>
    </row>
  </sheetData>
  <mergeCells count="39">
    <mergeCell ref="C236:D236"/>
    <mergeCell ref="G236:I236"/>
    <mergeCell ref="C237:D237"/>
    <mergeCell ref="G237:I237"/>
    <mergeCell ref="B231:C231"/>
    <mergeCell ref="D231:F231"/>
    <mergeCell ref="G231:H231"/>
    <mergeCell ref="I231:K231"/>
    <mergeCell ref="B232:C232"/>
    <mergeCell ref="D232:F232"/>
    <mergeCell ref="G232:H232"/>
    <mergeCell ref="I232:K232"/>
    <mergeCell ref="E225:F226"/>
    <mergeCell ref="G225:H226"/>
    <mergeCell ref="I225:J226"/>
    <mergeCell ref="K225:L226"/>
    <mergeCell ref="N225:O226"/>
    <mergeCell ref="M226:M227"/>
    <mergeCell ref="A224:D224"/>
    <mergeCell ref="A225:A227"/>
    <mergeCell ref="B225:B227"/>
    <mergeCell ref="C225:C227"/>
    <mergeCell ref="D225:D227"/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</mergeCells>
  <phoneticPr fontId="3" type="noConversion"/>
  <pageMargins left="0.19685039370078741" right="0" top="0.39370078740157483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F17"/>
  <sheetViews>
    <sheetView workbookViewId="0">
      <selection activeCell="I5" sqref="I5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412"/>
      <c r="B1" s="412"/>
      <c r="C1" s="790" t="s">
        <v>328</v>
      </c>
      <c r="D1" s="790"/>
    </row>
    <row r="2" spans="1:6" ht="75" customHeight="1">
      <c r="A2" s="783" t="s">
        <v>306</v>
      </c>
      <c r="B2" s="783"/>
      <c r="C2" s="783"/>
      <c r="D2" s="783"/>
    </row>
    <row r="3" spans="1:6" ht="20.25" customHeight="1">
      <c r="A3" s="784" t="s">
        <v>977</v>
      </c>
      <c r="B3" s="784"/>
      <c r="C3" s="784"/>
      <c r="D3" s="784"/>
    </row>
    <row r="4" spans="1:6" ht="27" customHeight="1">
      <c r="A4" s="791" t="s">
        <v>303</v>
      </c>
      <c r="B4" s="791"/>
      <c r="C4" s="791"/>
      <c r="D4" s="791"/>
    </row>
    <row r="5" spans="1:6" ht="57" customHeight="1">
      <c r="A5" s="475" t="s">
        <v>304</v>
      </c>
      <c r="B5" s="475" t="s">
        <v>305</v>
      </c>
      <c r="C5" s="475" t="s">
        <v>976</v>
      </c>
      <c r="D5" s="475" t="s">
        <v>535</v>
      </c>
    </row>
    <row r="6" spans="1:6" ht="51" customHeight="1">
      <c r="A6" s="476" t="s">
        <v>307</v>
      </c>
      <c r="B6" s="477"/>
      <c r="C6" s="478">
        <f>SUM(C8:C11)</f>
        <v>1738</v>
      </c>
      <c r="D6" s="478">
        <f>SUM(D8:D11)</f>
        <v>2913</v>
      </c>
      <c r="F6" s="288"/>
    </row>
    <row r="7" spans="1:6">
      <c r="A7" s="479" t="s">
        <v>308</v>
      </c>
      <c r="B7" s="297"/>
      <c r="C7" s="480"/>
      <c r="D7" s="400"/>
    </row>
    <row r="8" spans="1:6" ht="22.5" customHeight="1">
      <c r="A8" s="479" t="s">
        <v>536</v>
      </c>
      <c r="B8" s="481"/>
      <c r="C8" s="482"/>
      <c r="D8" s="483"/>
    </row>
    <row r="9" spans="1:6" ht="22.5" customHeight="1">
      <c r="A9" s="479" t="s">
        <v>309</v>
      </c>
      <c r="B9" s="297" t="s">
        <v>534</v>
      </c>
      <c r="C9" s="484">
        <v>1551</v>
      </c>
      <c r="D9" s="485">
        <v>1766</v>
      </c>
    </row>
    <row r="10" spans="1:6" ht="15" customHeight="1">
      <c r="A10" s="479" t="s">
        <v>310</v>
      </c>
      <c r="B10" s="297" t="s">
        <v>558</v>
      </c>
      <c r="C10" s="484">
        <v>182</v>
      </c>
      <c r="D10" s="485">
        <v>1132</v>
      </c>
    </row>
    <row r="11" spans="1:6" ht="17.25" customHeight="1">
      <c r="A11" s="479" t="s">
        <v>574</v>
      </c>
      <c r="B11" s="297" t="s">
        <v>559</v>
      </c>
      <c r="C11" s="484">
        <v>5</v>
      </c>
      <c r="D11" s="485">
        <v>15</v>
      </c>
    </row>
    <row r="12" spans="1:6" ht="29.25" customHeight="1">
      <c r="A12" s="476" t="s">
        <v>311</v>
      </c>
      <c r="B12" s="481"/>
      <c r="C12" s="482"/>
      <c r="D12" s="483"/>
    </row>
    <row r="13" spans="1:6">
      <c r="A13" s="486"/>
      <c r="B13" s="487"/>
      <c r="C13" s="488"/>
      <c r="D13" s="488"/>
    </row>
    <row r="14" spans="1:6" ht="30.75" customHeight="1">
      <c r="A14" s="489" t="s">
        <v>970</v>
      </c>
      <c r="B14" s="489"/>
      <c r="C14" s="489"/>
      <c r="D14" s="490"/>
    </row>
    <row r="15" spans="1:6">
      <c r="A15" s="240"/>
      <c r="B15" s="240"/>
      <c r="C15" s="240"/>
      <c r="D15" s="240"/>
    </row>
    <row r="16" spans="1:6">
      <c r="A16" s="490" t="s">
        <v>556</v>
      </c>
      <c r="B16" s="240"/>
      <c r="C16" s="240"/>
      <c r="D16" s="240"/>
    </row>
    <row r="17" spans="1:4">
      <c r="A17" s="240" t="s">
        <v>547</v>
      </c>
      <c r="B17" s="240"/>
      <c r="C17" s="240"/>
      <c r="D17" s="240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C1:G12"/>
  <sheetViews>
    <sheetView topLeftCell="B1" workbookViewId="0">
      <selection activeCell="C10" sqref="C10:C12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30"/>
      <c r="D1" s="230"/>
      <c r="E1" s="768" t="s">
        <v>363</v>
      </c>
      <c r="F1" s="768"/>
      <c r="G1" s="176"/>
    </row>
    <row r="2" spans="3:7" ht="68.25" customHeight="1">
      <c r="C2" s="792" t="s">
        <v>332</v>
      </c>
      <c r="D2" s="792"/>
      <c r="E2" s="792"/>
      <c r="F2" s="792"/>
    </row>
    <row r="3" spans="3:7">
      <c r="C3" s="236"/>
      <c r="D3" s="230"/>
      <c r="E3" s="230"/>
      <c r="F3" s="230"/>
    </row>
    <row r="4" spans="3:7" ht="107.25" customHeight="1">
      <c r="C4" s="237" t="s">
        <v>329</v>
      </c>
      <c r="D4" s="237" t="s">
        <v>497</v>
      </c>
      <c r="E4" s="237" t="s">
        <v>330</v>
      </c>
      <c r="F4" s="237" t="s">
        <v>331</v>
      </c>
    </row>
    <row r="5" spans="3:7" ht="51.75" customHeight="1">
      <c r="C5" s="238" t="s">
        <v>487</v>
      </c>
      <c r="D5" s="316">
        <f>-('1. Фін результат'!F79+'6.1. Інша інфо_1'!I45+'6.1. Інша інфо_1'!I46)/'6.1. Інша інфо_1'!G43/3*1000*1.2</f>
        <v>5.4358696488358635</v>
      </c>
      <c r="E5" s="316">
        <f>'6.1. Інша інфо_1'!H43*1.2</f>
        <v>5.1165585758547758</v>
      </c>
      <c r="F5" s="317">
        <f>E5/D5</f>
        <v>0.94125851177290998</v>
      </c>
    </row>
    <row r="6" spans="3:7" ht="27" customHeight="1">
      <c r="C6" s="238"/>
      <c r="D6" s="238"/>
      <c r="E6" s="238"/>
      <c r="F6" s="238"/>
    </row>
    <row r="7" spans="3:7" ht="28.5" customHeight="1">
      <c r="C7" s="238"/>
      <c r="D7" s="238"/>
      <c r="E7" s="238"/>
      <c r="F7" s="238"/>
    </row>
    <row r="8" spans="3:7" ht="36" customHeight="1">
      <c r="C8" s="238"/>
      <c r="D8" s="238"/>
      <c r="E8" s="238"/>
      <c r="F8" s="238"/>
    </row>
    <row r="10" spans="3:7">
      <c r="C10" s="489" t="s">
        <v>970</v>
      </c>
    </row>
    <row r="11" spans="3:7">
      <c r="C11" s="240"/>
    </row>
    <row r="12" spans="3:7">
      <c r="C12" s="490" t="s">
        <v>491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54"/>
  <sheetViews>
    <sheetView topLeftCell="A16" workbookViewId="0">
      <selection sqref="A1:C55"/>
    </sheetView>
  </sheetViews>
  <sheetFormatPr defaultRowHeight="12.75"/>
  <cols>
    <col min="1" max="1" width="50.5703125" customWidth="1"/>
    <col min="2" max="2" width="6" customWidth="1"/>
    <col min="3" max="3" width="12.28515625" customWidth="1"/>
  </cols>
  <sheetData>
    <row r="1" spans="1:5" ht="35.25" customHeight="1">
      <c r="A1" s="793" t="s">
        <v>964</v>
      </c>
      <c r="B1" s="793"/>
      <c r="C1" s="793"/>
    </row>
    <row r="2" spans="1:5" ht="25.5">
      <c r="A2" s="293" t="s">
        <v>537</v>
      </c>
      <c r="B2" s="271">
        <v>1000</v>
      </c>
      <c r="C2" s="423">
        <f>SUM(C3:C8)</f>
        <v>12508</v>
      </c>
      <c r="D2" s="308"/>
      <c r="E2" s="308">
        <f>'1. Фін результат'!F7</f>
        <v>12508</v>
      </c>
    </row>
    <row r="3" spans="1:5" ht="12" customHeight="1">
      <c r="A3" s="287" t="s">
        <v>501</v>
      </c>
      <c r="B3" s="272"/>
      <c r="C3" s="273">
        <v>11339</v>
      </c>
      <c r="D3" s="308"/>
      <c r="E3" s="308"/>
    </row>
    <row r="4" spans="1:5" ht="12" customHeight="1">
      <c r="A4" s="287" t="s">
        <v>502</v>
      </c>
      <c r="B4" s="272"/>
      <c r="C4" s="273">
        <v>134</v>
      </c>
      <c r="D4" s="308"/>
      <c r="E4" s="308"/>
    </row>
    <row r="5" spans="1:5" ht="12" customHeight="1">
      <c r="A5" s="287" t="s">
        <v>503</v>
      </c>
      <c r="B5" s="272"/>
      <c r="C5" s="273"/>
      <c r="D5" s="308"/>
      <c r="E5" s="308"/>
    </row>
    <row r="6" spans="1:5" ht="12" customHeight="1">
      <c r="A6" s="287" t="s">
        <v>504</v>
      </c>
      <c r="B6" s="272"/>
      <c r="C6" s="273"/>
      <c r="D6" s="308"/>
      <c r="E6" s="308"/>
    </row>
    <row r="7" spans="1:5" ht="12" customHeight="1">
      <c r="A7" s="287" t="s">
        <v>505</v>
      </c>
      <c r="B7" s="272"/>
      <c r="C7" s="273">
        <v>140</v>
      </c>
      <c r="D7" s="308"/>
      <c r="E7" s="308"/>
    </row>
    <row r="8" spans="1:5" ht="12" customHeight="1">
      <c r="A8" s="287" t="s">
        <v>496</v>
      </c>
      <c r="B8" s="272"/>
      <c r="C8" s="273">
        <v>895</v>
      </c>
      <c r="D8" s="308"/>
      <c r="E8" s="308"/>
    </row>
    <row r="9" spans="1:5" ht="12" customHeight="1">
      <c r="A9" s="292" t="s">
        <v>507</v>
      </c>
      <c r="B9" s="277"/>
      <c r="C9" s="278"/>
      <c r="D9" s="308"/>
      <c r="E9" s="308"/>
    </row>
    <row r="10" spans="1:5" ht="12" customHeight="1">
      <c r="A10" s="295" t="s">
        <v>542</v>
      </c>
      <c r="B10" s="89">
        <v>1018</v>
      </c>
      <c r="C10" s="285">
        <f>SUM(C11:C21)</f>
        <v>2525</v>
      </c>
      <c r="D10" s="308"/>
      <c r="E10" s="308">
        <f>'1. Фін результат'!F16</f>
        <v>-2525</v>
      </c>
    </row>
    <row r="11" spans="1:5" ht="12" customHeight="1">
      <c r="A11" s="287" t="s">
        <v>508</v>
      </c>
      <c r="B11" s="272"/>
      <c r="C11" s="289">
        <v>1057</v>
      </c>
      <c r="D11" s="308"/>
      <c r="E11" s="308"/>
    </row>
    <row r="12" spans="1:5" ht="12" customHeight="1">
      <c r="A12" s="287" t="s">
        <v>509</v>
      </c>
      <c r="B12" s="272"/>
      <c r="C12" s="289">
        <v>35</v>
      </c>
      <c r="D12" s="308"/>
      <c r="E12" s="308"/>
    </row>
    <row r="13" spans="1:5" ht="12" customHeight="1">
      <c r="A13" s="287" t="s">
        <v>510</v>
      </c>
      <c r="B13" s="272"/>
      <c r="C13" s="289">
        <v>-246</v>
      </c>
      <c r="D13" s="308"/>
      <c r="E13" s="308"/>
    </row>
    <row r="14" spans="1:5" ht="12" customHeight="1">
      <c r="A14" s="280" t="s">
        <v>565</v>
      </c>
      <c r="B14" s="272"/>
      <c r="C14" s="289">
        <v>92</v>
      </c>
      <c r="D14" s="308"/>
      <c r="E14" s="308"/>
    </row>
    <row r="15" spans="1:5" ht="12" customHeight="1">
      <c r="A15" s="287" t="s">
        <v>511</v>
      </c>
      <c r="B15" s="272"/>
      <c r="C15" s="289">
        <v>1100</v>
      </c>
      <c r="D15" s="308"/>
      <c r="E15" s="308"/>
    </row>
    <row r="16" spans="1:5" ht="12" customHeight="1">
      <c r="A16" s="287" t="s">
        <v>512</v>
      </c>
      <c r="B16" s="272"/>
      <c r="C16" s="289">
        <v>8</v>
      </c>
      <c r="D16" s="308"/>
      <c r="E16" s="308"/>
    </row>
    <row r="17" spans="1:5" ht="12" customHeight="1">
      <c r="A17" s="287" t="s">
        <v>513</v>
      </c>
      <c r="B17" s="272"/>
      <c r="C17" s="289">
        <v>28</v>
      </c>
      <c r="D17" s="308"/>
      <c r="E17" s="308"/>
    </row>
    <row r="18" spans="1:5" ht="12" customHeight="1">
      <c r="A18" s="287" t="s">
        <v>514</v>
      </c>
      <c r="B18" s="272"/>
      <c r="C18" s="289">
        <v>8</v>
      </c>
      <c r="D18" s="308"/>
      <c r="E18" s="308"/>
    </row>
    <row r="19" spans="1:5" ht="12" customHeight="1">
      <c r="A19" s="287" t="s">
        <v>515</v>
      </c>
      <c r="B19" s="272"/>
      <c r="C19" s="284">
        <v>404</v>
      </c>
      <c r="D19" s="308"/>
      <c r="E19" s="308"/>
    </row>
    <row r="20" spans="1:5" ht="12" customHeight="1">
      <c r="A20" s="287" t="s">
        <v>516</v>
      </c>
      <c r="B20" s="272"/>
      <c r="C20" s="289">
        <v>23</v>
      </c>
      <c r="D20" s="308"/>
      <c r="E20" s="308"/>
    </row>
    <row r="21" spans="1:5" ht="12" customHeight="1">
      <c r="A21" s="280" t="s">
        <v>570</v>
      </c>
      <c r="B21" s="272"/>
      <c r="C21" s="289">
        <v>16</v>
      </c>
      <c r="D21" s="308"/>
      <c r="E21" s="308"/>
    </row>
    <row r="22" spans="1:5" ht="12" customHeight="1">
      <c r="A22" s="274" t="s">
        <v>506</v>
      </c>
      <c r="B22" s="98">
        <v>1030</v>
      </c>
      <c r="C22" s="275">
        <f>C23+C24</f>
        <v>124</v>
      </c>
      <c r="D22" s="308"/>
      <c r="E22" s="308">
        <f>'1. Фін результат'!F19</f>
        <v>124</v>
      </c>
    </row>
    <row r="23" spans="1:5" ht="12" customHeight="1">
      <c r="A23" s="280" t="s">
        <v>571</v>
      </c>
      <c r="B23" s="272"/>
      <c r="C23" s="284">
        <v>124</v>
      </c>
      <c r="D23" s="308"/>
      <c r="E23" s="308"/>
    </row>
    <row r="24" spans="1:5" ht="12" customHeight="1">
      <c r="A24" s="280" t="s">
        <v>573</v>
      </c>
      <c r="B24" s="272"/>
      <c r="C24" s="284"/>
      <c r="D24" s="308"/>
      <c r="E24" s="308"/>
    </row>
    <row r="25" spans="1:5" ht="12" customHeight="1">
      <c r="A25" s="276" t="s">
        <v>517</v>
      </c>
      <c r="B25" s="277"/>
      <c r="C25" s="279"/>
      <c r="D25" s="308"/>
      <c r="E25" s="308"/>
    </row>
    <row r="26" spans="1:5" ht="12" customHeight="1">
      <c r="A26" s="274" t="s">
        <v>541</v>
      </c>
      <c r="B26" s="98">
        <v>1062</v>
      </c>
      <c r="C26" s="315">
        <f>SUM(C27:C36)</f>
        <v>357</v>
      </c>
      <c r="D26" s="328">
        <f>SUM(C27:C36)</f>
        <v>357</v>
      </c>
      <c r="E26" s="308">
        <f>'1. Фін результат'!F43</f>
        <v>-357</v>
      </c>
    </row>
    <row r="27" spans="1:5" ht="12" customHeight="1">
      <c r="A27" s="216" t="s">
        <v>572</v>
      </c>
      <c r="B27" s="98"/>
      <c r="C27" s="315">
        <v>4</v>
      </c>
      <c r="D27" s="308"/>
      <c r="E27" s="308"/>
    </row>
    <row r="28" spans="1:5" ht="12" customHeight="1">
      <c r="A28" s="280" t="s">
        <v>518</v>
      </c>
      <c r="B28" s="281"/>
      <c r="C28" s="289">
        <v>11</v>
      </c>
      <c r="D28" s="308"/>
      <c r="E28" s="308"/>
    </row>
    <row r="29" spans="1:5" ht="12" customHeight="1">
      <c r="A29" s="280" t="s">
        <v>519</v>
      </c>
      <c r="B29" s="281"/>
      <c r="C29" s="289">
        <v>2</v>
      </c>
      <c r="D29" s="308"/>
      <c r="E29" s="308"/>
    </row>
    <row r="30" spans="1:5" ht="12" customHeight="1">
      <c r="A30" s="280" t="s">
        <v>520</v>
      </c>
      <c r="B30" s="281"/>
      <c r="C30" s="289">
        <v>52</v>
      </c>
      <c r="D30" s="308"/>
      <c r="E30" s="308"/>
    </row>
    <row r="31" spans="1:5" ht="12" customHeight="1">
      <c r="A31" s="280" t="s">
        <v>521</v>
      </c>
      <c r="B31" s="283"/>
      <c r="C31" s="284">
        <v>31</v>
      </c>
      <c r="D31" s="308"/>
      <c r="E31" s="308"/>
    </row>
    <row r="32" spans="1:5" ht="9.75" customHeight="1">
      <c r="A32" s="280" t="s">
        <v>522</v>
      </c>
      <c r="B32" s="283"/>
      <c r="C32" s="289">
        <v>71</v>
      </c>
      <c r="D32" s="308"/>
      <c r="E32" s="308"/>
    </row>
    <row r="33" spans="1:5" ht="0.75" hidden="1" customHeight="1">
      <c r="A33" s="280" t="s">
        <v>523</v>
      </c>
      <c r="B33" s="283"/>
      <c r="C33" s="289"/>
      <c r="D33" s="308"/>
      <c r="E33" s="308"/>
    </row>
    <row r="34" spans="1:5" ht="12" customHeight="1">
      <c r="A34" s="280" t="s">
        <v>524</v>
      </c>
      <c r="B34" s="283"/>
      <c r="C34" s="289">
        <v>28</v>
      </c>
      <c r="D34" s="308"/>
      <c r="E34" s="308"/>
    </row>
    <row r="35" spans="1:5" ht="12" customHeight="1">
      <c r="A35" s="287" t="s">
        <v>516</v>
      </c>
      <c r="B35" s="272"/>
      <c r="C35" s="289">
        <v>13</v>
      </c>
      <c r="D35" s="308"/>
      <c r="E35" s="308"/>
    </row>
    <row r="36" spans="1:5" ht="12" customHeight="1">
      <c r="A36" s="282" t="s">
        <v>515</v>
      </c>
      <c r="B36" s="283"/>
      <c r="C36" s="290">
        <v>145</v>
      </c>
      <c r="D36" s="308"/>
      <c r="E36" s="308"/>
    </row>
    <row r="37" spans="1:5" ht="12" customHeight="1">
      <c r="A37" s="276" t="s">
        <v>525</v>
      </c>
      <c r="B37" s="277"/>
      <c r="C37" s="278"/>
      <c r="D37" s="308"/>
      <c r="E37" s="308"/>
    </row>
    <row r="38" spans="1:5" ht="12" customHeight="1">
      <c r="A38" s="274" t="s">
        <v>540</v>
      </c>
      <c r="B38" s="98">
        <v>1085</v>
      </c>
      <c r="C38" s="278">
        <f>SUM(C39:C39)</f>
        <v>3</v>
      </c>
      <c r="D38" s="308"/>
      <c r="E38" s="308">
        <f>'1. Фін результат'!F57</f>
        <v>-3</v>
      </c>
    </row>
    <row r="39" spans="1:5" ht="13.5" customHeight="1">
      <c r="A39" s="280" t="s">
        <v>526</v>
      </c>
      <c r="B39" s="272"/>
      <c r="C39" s="289">
        <v>3</v>
      </c>
      <c r="D39" s="308"/>
      <c r="E39" s="308"/>
    </row>
    <row r="40" spans="1:5" ht="12" customHeight="1">
      <c r="A40" s="294" t="s">
        <v>538</v>
      </c>
      <c r="B40" s="214" t="s">
        <v>355</v>
      </c>
      <c r="C40" s="286">
        <f>SUM(C41:C46)</f>
        <v>5468</v>
      </c>
      <c r="D40" s="308"/>
      <c r="E40" s="308">
        <f>'ІІІ. Рух грош. коштів'!F17</f>
        <v>-5468</v>
      </c>
    </row>
    <row r="41" spans="1:5" ht="12" customHeight="1">
      <c r="A41" s="280" t="s">
        <v>531</v>
      </c>
      <c r="B41" s="214"/>
      <c r="C41" s="291">
        <v>1833</v>
      </c>
      <c r="D41" s="308"/>
      <c r="E41" s="308"/>
    </row>
    <row r="42" spans="1:5" ht="12" customHeight="1">
      <c r="A42" s="280" t="s">
        <v>560</v>
      </c>
      <c r="B42" s="214"/>
      <c r="C42" s="291">
        <v>29</v>
      </c>
      <c r="D42" s="308"/>
      <c r="E42" s="308"/>
    </row>
    <row r="43" spans="1:5" ht="12" customHeight="1">
      <c r="A43" s="280" t="s">
        <v>532</v>
      </c>
      <c r="B43" s="214"/>
      <c r="C43" s="291">
        <v>1550</v>
      </c>
      <c r="D43" s="308"/>
      <c r="E43" s="308"/>
    </row>
    <row r="44" spans="1:5" ht="12" customHeight="1">
      <c r="A44" s="280" t="s">
        <v>529</v>
      </c>
      <c r="B44" s="214"/>
      <c r="C44" s="291">
        <f>'[38]ІІ. Розр. з бюджетом'!F26</f>
        <v>0</v>
      </c>
      <c r="D44" s="308"/>
      <c r="E44" s="308"/>
    </row>
    <row r="45" spans="1:5" ht="12" customHeight="1">
      <c r="A45" s="311" t="s">
        <v>530</v>
      </c>
      <c r="B45" s="214"/>
      <c r="C45" s="291">
        <v>1914</v>
      </c>
      <c r="D45" s="308"/>
      <c r="E45" s="308"/>
    </row>
    <row r="46" spans="1:5" ht="12" customHeight="1">
      <c r="A46" s="311" t="s">
        <v>561</v>
      </c>
      <c r="B46" s="214"/>
      <c r="C46" s="291">
        <v>142</v>
      </c>
      <c r="D46" s="308"/>
      <c r="E46" s="308"/>
    </row>
    <row r="47" spans="1:5" ht="1.5" hidden="1" customHeight="1">
      <c r="A47" s="312" t="s">
        <v>562</v>
      </c>
      <c r="B47" s="214" t="s">
        <v>357</v>
      </c>
      <c r="C47" s="313">
        <f>C48</f>
        <v>0</v>
      </c>
      <c r="D47" s="308"/>
      <c r="E47" s="308">
        <f>'ІІІ. Рух грош. коштів'!F18</f>
        <v>-5</v>
      </c>
    </row>
    <row r="48" spans="1:5" ht="12" hidden="1" customHeight="1">
      <c r="A48" s="311" t="s">
        <v>563</v>
      </c>
      <c r="B48" s="214"/>
      <c r="C48" s="291"/>
      <c r="D48" s="308"/>
      <c r="E48" s="308"/>
    </row>
    <row r="49" spans="1:11" ht="25.5" customHeight="1">
      <c r="A49" s="274" t="s">
        <v>539</v>
      </c>
      <c r="B49" s="113">
        <v>4020</v>
      </c>
      <c r="C49" s="286">
        <f>SUM(C52:C52)</f>
        <v>16</v>
      </c>
      <c r="D49" s="308"/>
      <c r="E49" s="308">
        <f>'IV. Кап. інвестиції'!F10</f>
        <v>16</v>
      </c>
    </row>
    <row r="50" spans="1:11" ht="12" hidden="1" customHeight="1">
      <c r="A50" s="216" t="s">
        <v>564</v>
      </c>
      <c r="B50" s="113"/>
      <c r="C50" s="291"/>
      <c r="D50" s="308"/>
      <c r="E50" s="308"/>
    </row>
    <row r="51" spans="1:11" ht="12" hidden="1" customHeight="1">
      <c r="A51" s="216" t="s">
        <v>552</v>
      </c>
      <c r="B51" s="113"/>
      <c r="C51" s="291"/>
      <c r="D51" s="308"/>
      <c r="E51" s="308"/>
    </row>
    <row r="52" spans="1:11" ht="15" customHeight="1">
      <c r="A52" s="216" t="s">
        <v>567</v>
      </c>
      <c r="B52" s="113"/>
      <c r="C52" s="291">
        <v>16</v>
      </c>
      <c r="D52" s="308"/>
      <c r="E52" s="308"/>
    </row>
    <row r="53" spans="1:11" ht="25.5" customHeight="1">
      <c r="A53" s="794" t="s">
        <v>527</v>
      </c>
      <c r="B53" s="794"/>
      <c r="C53" s="794"/>
      <c r="D53" s="353"/>
      <c r="E53" s="353"/>
      <c r="F53" s="353"/>
      <c r="G53" s="353"/>
      <c r="H53" s="353"/>
      <c r="I53" s="353"/>
      <c r="J53" s="353"/>
      <c r="K53" s="353"/>
    </row>
    <row r="54" spans="1:11" ht="15">
      <c r="A54" s="794" t="s">
        <v>533</v>
      </c>
      <c r="B54" s="794"/>
      <c r="C54" s="794"/>
    </row>
  </sheetData>
  <mergeCells count="3">
    <mergeCell ref="A1:C1"/>
    <mergeCell ref="A53:C53"/>
    <mergeCell ref="A54:C54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53"/>
  <sheetViews>
    <sheetView topLeftCell="A25" workbookViewId="0">
      <selection activeCell="G21" sqref="G21"/>
    </sheetView>
  </sheetViews>
  <sheetFormatPr defaultRowHeight="12.75"/>
  <cols>
    <col min="1" max="1" width="34" customWidth="1"/>
    <col min="2" max="2" width="5.7109375" customWidth="1"/>
    <col min="3" max="3" width="8" customWidth="1"/>
    <col min="4" max="5" width="7.42578125" customWidth="1"/>
    <col min="6" max="6" width="8.140625" customWidth="1"/>
    <col min="7" max="7" width="7.140625" customWidth="1"/>
  </cols>
  <sheetData>
    <row r="1" spans="1:9" ht="14.25" customHeight="1">
      <c r="A1" s="793" t="s">
        <v>974</v>
      </c>
      <c r="B1" s="793"/>
      <c r="C1" s="793"/>
      <c r="D1" s="793"/>
      <c r="E1" s="793"/>
      <c r="F1" s="793"/>
      <c r="G1" s="793"/>
    </row>
    <row r="2" spans="1:9" ht="14.25">
      <c r="A2" s="337"/>
      <c r="B2" s="337"/>
      <c r="C2" s="425" t="s">
        <v>716</v>
      </c>
      <c r="D2" s="425" t="s">
        <v>718</v>
      </c>
      <c r="E2" s="425" t="s">
        <v>971</v>
      </c>
      <c r="F2" s="425" t="s">
        <v>972</v>
      </c>
      <c r="G2" s="456" t="s">
        <v>973</v>
      </c>
    </row>
    <row r="3" spans="1:9" ht="29.25" customHeight="1">
      <c r="A3" s="293" t="s">
        <v>537</v>
      </c>
      <c r="B3" s="457">
        <v>1000</v>
      </c>
      <c r="C3" s="455">
        <f>SUM(C4:C7)</f>
        <v>11974</v>
      </c>
      <c r="D3" s="455">
        <f>SUM(D4:D7)</f>
        <v>12742</v>
      </c>
      <c r="E3" s="455">
        <f>SUM(E4:E7)</f>
        <v>12469</v>
      </c>
      <c r="F3" s="455">
        <f>SUM(F4:F7)</f>
        <v>12508</v>
      </c>
      <c r="G3" s="455">
        <f>SUM(G4:G7)</f>
        <v>49693</v>
      </c>
      <c r="H3" s="341"/>
      <c r="I3" s="341"/>
    </row>
    <row r="4" spans="1:9">
      <c r="A4" s="280" t="s">
        <v>501</v>
      </c>
      <c r="B4" s="457"/>
      <c r="C4" s="439">
        <v>11339</v>
      </c>
      <c r="D4" s="439">
        <v>11336</v>
      </c>
      <c r="E4" s="433">
        <v>11334</v>
      </c>
      <c r="F4" s="436">
        <v>11339</v>
      </c>
      <c r="G4" s="436">
        <f>SUM(C4:F4)</f>
        <v>45348</v>
      </c>
      <c r="H4" s="342"/>
      <c r="I4" s="342"/>
    </row>
    <row r="5" spans="1:9">
      <c r="A5" s="280" t="s">
        <v>502</v>
      </c>
      <c r="B5" s="457"/>
      <c r="C5" s="439">
        <v>134</v>
      </c>
      <c r="D5" s="439">
        <v>134</v>
      </c>
      <c r="E5" s="433">
        <v>134</v>
      </c>
      <c r="F5" s="436">
        <v>134</v>
      </c>
      <c r="G5" s="436">
        <f t="shared" ref="G5:G7" si="0">SUM(C5:F5)</f>
        <v>536</v>
      </c>
      <c r="H5" s="342"/>
      <c r="I5" s="342"/>
    </row>
    <row r="6" spans="1:9">
      <c r="A6" s="280" t="s">
        <v>505</v>
      </c>
      <c r="B6" s="457"/>
      <c r="C6" s="439">
        <v>38</v>
      </c>
      <c r="D6" s="439">
        <v>48</v>
      </c>
      <c r="E6" s="433">
        <v>88</v>
      </c>
      <c r="F6" s="436">
        <v>140</v>
      </c>
      <c r="G6" s="436">
        <f t="shared" si="0"/>
        <v>314</v>
      </c>
      <c r="H6" s="342"/>
      <c r="I6" s="342"/>
    </row>
    <row r="7" spans="1:9" ht="15.75" customHeight="1">
      <c r="A7" s="280" t="s">
        <v>496</v>
      </c>
      <c r="B7" s="457"/>
      <c r="C7" s="439">
        <v>463</v>
      </c>
      <c r="D7" s="439">
        <v>1224</v>
      </c>
      <c r="E7" s="433">
        <v>913</v>
      </c>
      <c r="F7" s="436">
        <v>895</v>
      </c>
      <c r="G7" s="436">
        <f t="shared" si="0"/>
        <v>3495</v>
      </c>
      <c r="H7" s="342"/>
      <c r="I7" s="342"/>
    </row>
    <row r="8" spans="1:9" ht="25.5">
      <c r="A8" s="292" t="s">
        <v>507</v>
      </c>
      <c r="B8" s="458"/>
      <c r="C8" s="426"/>
      <c r="D8" s="432"/>
      <c r="E8" s="401"/>
      <c r="F8" s="438"/>
      <c r="G8" s="438"/>
      <c r="H8" s="343"/>
      <c r="I8" s="343"/>
    </row>
    <row r="9" spans="1:9" ht="15.75">
      <c r="A9" s="295" t="s">
        <v>542</v>
      </c>
      <c r="B9" s="377">
        <v>1018</v>
      </c>
      <c r="C9" s="429">
        <v>2644</v>
      </c>
      <c r="D9" s="429">
        <f>SUM(D10:D20)</f>
        <v>2528</v>
      </c>
      <c r="E9" s="429">
        <f>SUM(E10:E20)</f>
        <v>2827</v>
      </c>
      <c r="F9" s="429">
        <f t="shared" ref="F9:G9" si="1">SUM(F10:F20)</f>
        <v>2525</v>
      </c>
      <c r="G9" s="429">
        <f t="shared" si="1"/>
        <v>10524</v>
      </c>
      <c r="H9" s="344"/>
      <c r="I9" s="344"/>
    </row>
    <row r="10" spans="1:9">
      <c r="A10" s="280" t="s">
        <v>508</v>
      </c>
      <c r="B10" s="457"/>
      <c r="C10" s="433">
        <v>1057</v>
      </c>
      <c r="D10" s="433">
        <v>1064</v>
      </c>
      <c r="E10" s="433">
        <v>1057</v>
      </c>
      <c r="F10" s="436">
        <v>1057</v>
      </c>
      <c r="G10" s="436">
        <f>SUM(C10:F10)</f>
        <v>4235</v>
      </c>
      <c r="H10" s="345"/>
      <c r="I10" s="345"/>
    </row>
    <row r="11" spans="1:9">
      <c r="A11" s="280" t="s">
        <v>509</v>
      </c>
      <c r="B11" s="457"/>
      <c r="C11" s="433">
        <v>144</v>
      </c>
      <c r="D11" s="433">
        <v>101</v>
      </c>
      <c r="E11" s="433">
        <v>155</v>
      </c>
      <c r="F11" s="436">
        <v>35</v>
      </c>
      <c r="G11" s="436">
        <f t="shared" ref="G11:G20" si="2">SUM(C11:F11)</f>
        <v>435</v>
      </c>
      <c r="H11" s="345"/>
      <c r="I11" s="345"/>
    </row>
    <row r="12" spans="1:9" ht="15.75" customHeight="1">
      <c r="A12" s="280" t="s">
        <v>510</v>
      </c>
      <c r="B12" s="457"/>
      <c r="C12" s="433">
        <f>21+13</f>
        <v>34</v>
      </c>
      <c r="D12" s="433">
        <v>13</v>
      </c>
      <c r="E12" s="433">
        <v>684</v>
      </c>
      <c r="F12" s="436">
        <v>-246</v>
      </c>
      <c r="G12" s="436">
        <f t="shared" si="2"/>
        <v>485</v>
      </c>
      <c r="H12" s="345"/>
      <c r="I12" s="345"/>
    </row>
    <row r="13" spans="1:9">
      <c r="A13" s="280" t="s">
        <v>565</v>
      </c>
      <c r="B13" s="457"/>
      <c r="C13" s="433">
        <v>117</v>
      </c>
      <c r="D13" s="433">
        <v>107</v>
      </c>
      <c r="E13" s="433">
        <v>182</v>
      </c>
      <c r="F13" s="436">
        <v>92</v>
      </c>
      <c r="G13" s="436">
        <f t="shared" si="2"/>
        <v>498</v>
      </c>
      <c r="H13" s="345"/>
      <c r="I13" s="345"/>
    </row>
    <row r="14" spans="1:9">
      <c r="A14" s="280" t="s">
        <v>511</v>
      </c>
      <c r="B14" s="457"/>
      <c r="C14" s="433">
        <v>1102</v>
      </c>
      <c r="D14" s="433">
        <v>1097</v>
      </c>
      <c r="E14" s="433">
        <v>1101</v>
      </c>
      <c r="F14" s="436">
        <v>1100</v>
      </c>
      <c r="G14" s="436">
        <f t="shared" si="2"/>
        <v>4400</v>
      </c>
      <c r="H14" s="345"/>
      <c r="I14" s="345"/>
    </row>
    <row r="15" spans="1:9">
      <c r="A15" s="280" t="s">
        <v>512</v>
      </c>
      <c r="B15" s="457"/>
      <c r="C15" s="433">
        <v>7</v>
      </c>
      <c r="D15" s="433">
        <v>7</v>
      </c>
      <c r="E15" s="433">
        <v>7</v>
      </c>
      <c r="F15" s="436">
        <v>8</v>
      </c>
      <c r="G15" s="436">
        <f t="shared" si="2"/>
        <v>29</v>
      </c>
      <c r="H15" s="345"/>
      <c r="I15" s="345"/>
    </row>
    <row r="16" spans="1:9">
      <c r="A16" s="280" t="s">
        <v>513</v>
      </c>
      <c r="B16" s="457"/>
      <c r="C16" s="433">
        <v>33</v>
      </c>
      <c r="D16" s="433">
        <v>77</v>
      </c>
      <c r="E16" s="433">
        <v>22</v>
      </c>
      <c r="F16" s="436">
        <v>28</v>
      </c>
      <c r="G16" s="436">
        <f t="shared" si="2"/>
        <v>160</v>
      </c>
      <c r="H16" s="345"/>
      <c r="I16" s="345"/>
    </row>
    <row r="17" spans="1:9">
      <c r="A17" s="280" t="s">
        <v>514</v>
      </c>
      <c r="B17" s="457"/>
      <c r="C17" s="433">
        <v>10</v>
      </c>
      <c r="D17" s="433">
        <v>7</v>
      </c>
      <c r="E17" s="433">
        <v>3</v>
      </c>
      <c r="F17" s="436">
        <v>8</v>
      </c>
      <c r="G17" s="436">
        <f t="shared" si="2"/>
        <v>28</v>
      </c>
      <c r="H17" s="345"/>
      <c r="I17" s="345"/>
    </row>
    <row r="18" spans="1:9">
      <c r="A18" s="280" t="s">
        <v>515</v>
      </c>
      <c r="B18" s="457"/>
      <c r="C18" s="439">
        <v>119</v>
      </c>
      <c r="D18" s="439">
        <v>25</v>
      </c>
      <c r="E18" s="433">
        <v>-419</v>
      </c>
      <c r="F18" s="436">
        <v>404</v>
      </c>
      <c r="G18" s="436">
        <f t="shared" si="2"/>
        <v>129</v>
      </c>
      <c r="H18" s="346"/>
      <c r="I18" s="346"/>
    </row>
    <row r="19" spans="1:9">
      <c r="A19" s="280" t="s">
        <v>516</v>
      </c>
      <c r="B19" s="457"/>
      <c r="C19" s="433">
        <v>21</v>
      </c>
      <c r="D19" s="433">
        <v>21</v>
      </c>
      <c r="E19" s="433">
        <v>23</v>
      </c>
      <c r="F19" s="436">
        <v>23</v>
      </c>
      <c r="G19" s="436">
        <f t="shared" si="2"/>
        <v>88</v>
      </c>
      <c r="H19" s="345"/>
      <c r="I19" s="345"/>
    </row>
    <row r="20" spans="1:9">
      <c r="A20" s="280" t="s">
        <v>570</v>
      </c>
      <c r="B20" s="457"/>
      <c r="C20" s="433"/>
      <c r="D20" s="440">
        <v>9</v>
      </c>
      <c r="E20" s="433">
        <v>12</v>
      </c>
      <c r="F20" s="436">
        <v>16</v>
      </c>
      <c r="G20" s="436">
        <f t="shared" si="2"/>
        <v>37</v>
      </c>
      <c r="H20" s="345"/>
      <c r="I20" s="345"/>
    </row>
    <row r="21" spans="1:9" ht="30">
      <c r="A21" s="274" t="s">
        <v>506</v>
      </c>
      <c r="B21" s="459">
        <v>1030</v>
      </c>
      <c r="C21" s="441">
        <f>C22</f>
        <v>48</v>
      </c>
      <c r="D21" s="441">
        <f>D22+D23</f>
        <v>209</v>
      </c>
      <c r="E21" s="441">
        <f>E22+E23</f>
        <v>183</v>
      </c>
      <c r="F21" s="441">
        <f t="shared" ref="F21:G21" si="3">F22+F23</f>
        <v>124</v>
      </c>
      <c r="G21" s="441">
        <f t="shared" si="3"/>
        <v>564</v>
      </c>
      <c r="H21" s="345"/>
      <c r="I21" s="347"/>
    </row>
    <row r="22" spans="1:9">
      <c r="A22" s="280" t="s">
        <v>717</v>
      </c>
      <c r="B22" s="457"/>
      <c r="C22" s="439">
        <v>48</v>
      </c>
      <c r="D22" s="440">
        <v>92</v>
      </c>
      <c r="E22" s="401">
        <v>182</v>
      </c>
      <c r="F22" s="442">
        <v>124</v>
      </c>
      <c r="G22" s="443">
        <f>SUM(C22:F22)</f>
        <v>446</v>
      </c>
      <c r="H22" s="347"/>
      <c r="I22" s="346"/>
    </row>
    <row r="23" spans="1:9" ht="25.5">
      <c r="A23" s="280" t="s">
        <v>573</v>
      </c>
      <c r="B23" s="457"/>
      <c r="C23" s="439"/>
      <c r="D23" s="440">
        <v>117</v>
      </c>
      <c r="E23" s="401">
        <v>1</v>
      </c>
      <c r="F23" s="444"/>
      <c r="G23" s="443">
        <f t="shared" ref="G23" si="4">SUM(C23:F23)</f>
        <v>118</v>
      </c>
      <c r="H23" s="347"/>
      <c r="I23" s="346"/>
    </row>
    <row r="24" spans="1:9" ht="14.25">
      <c r="A24" s="276" t="s">
        <v>517</v>
      </c>
      <c r="B24" s="458"/>
      <c r="C24" s="445"/>
      <c r="D24" s="432"/>
      <c r="E24" s="401"/>
      <c r="F24" s="436"/>
      <c r="G24" s="443"/>
      <c r="H24" s="346"/>
      <c r="I24" s="348"/>
    </row>
    <row r="25" spans="1:9" ht="30">
      <c r="A25" s="274" t="s">
        <v>541</v>
      </c>
      <c r="B25" s="459">
        <v>1062</v>
      </c>
      <c r="C25" s="446">
        <f>SUM(C27:C35)</f>
        <v>222</v>
      </c>
      <c r="D25" s="446">
        <f>SUM(D26:D35)</f>
        <v>-3</v>
      </c>
      <c r="E25" s="446">
        <f>SUM(E26:E35)</f>
        <v>51</v>
      </c>
      <c r="F25" s="446">
        <f t="shared" ref="F25:G25" si="5">SUM(F26:F35)</f>
        <v>357</v>
      </c>
      <c r="G25" s="446">
        <f t="shared" si="5"/>
        <v>627</v>
      </c>
      <c r="H25" s="346"/>
      <c r="I25" s="349"/>
    </row>
    <row r="26" spans="1:9" ht="15">
      <c r="A26" s="376" t="s">
        <v>572</v>
      </c>
      <c r="B26" s="459"/>
      <c r="C26" s="446"/>
      <c r="D26" s="446">
        <v>3</v>
      </c>
      <c r="E26" s="401">
        <v>1</v>
      </c>
      <c r="F26" s="436">
        <v>4</v>
      </c>
      <c r="G26" s="447">
        <f>SUM(C26:F26)</f>
        <v>8</v>
      </c>
      <c r="H26" s="346"/>
      <c r="I26" s="349"/>
    </row>
    <row r="27" spans="1:9">
      <c r="A27" s="280" t="s">
        <v>518</v>
      </c>
      <c r="B27" s="460"/>
      <c r="C27" s="433">
        <v>11</v>
      </c>
      <c r="D27" s="433">
        <v>8</v>
      </c>
      <c r="E27" s="401">
        <v>6</v>
      </c>
      <c r="F27" s="436">
        <v>11</v>
      </c>
      <c r="G27" s="448">
        <f t="shared" ref="G27:G35" si="6">SUM(C27:F27)</f>
        <v>36</v>
      </c>
      <c r="H27" s="348"/>
      <c r="I27" s="345"/>
    </row>
    <row r="28" spans="1:9">
      <c r="A28" s="280" t="s">
        <v>519</v>
      </c>
      <c r="B28" s="460"/>
      <c r="C28" s="433">
        <v>2</v>
      </c>
      <c r="D28" s="433">
        <v>2</v>
      </c>
      <c r="E28" s="401">
        <v>2</v>
      </c>
      <c r="F28" s="434">
        <v>2</v>
      </c>
      <c r="G28" s="448">
        <f t="shared" si="6"/>
        <v>8</v>
      </c>
      <c r="H28" s="349"/>
      <c r="I28" s="345"/>
    </row>
    <row r="29" spans="1:9">
      <c r="A29" s="280" t="s">
        <v>520</v>
      </c>
      <c r="B29" s="460"/>
      <c r="C29" s="433">
        <v>65</v>
      </c>
      <c r="D29" s="433">
        <v>3</v>
      </c>
      <c r="E29" s="401"/>
      <c r="F29" s="434">
        <v>52</v>
      </c>
      <c r="G29" s="448">
        <f t="shared" si="6"/>
        <v>120</v>
      </c>
      <c r="H29" s="349"/>
      <c r="I29" s="345"/>
    </row>
    <row r="30" spans="1:9">
      <c r="A30" s="280" t="s">
        <v>521</v>
      </c>
      <c r="B30" s="457"/>
      <c r="C30" s="439">
        <v>19</v>
      </c>
      <c r="D30" s="439">
        <v>18</v>
      </c>
      <c r="E30" s="401">
        <v>36</v>
      </c>
      <c r="F30" s="436">
        <v>31</v>
      </c>
      <c r="G30" s="448">
        <f t="shared" si="6"/>
        <v>104</v>
      </c>
      <c r="H30" s="345"/>
      <c r="I30" s="346"/>
    </row>
    <row r="31" spans="1:9">
      <c r="A31" s="280" t="s">
        <v>522</v>
      </c>
      <c r="B31" s="457"/>
      <c r="C31" s="433">
        <v>63</v>
      </c>
      <c r="D31" s="433">
        <v>67</v>
      </c>
      <c r="E31" s="401">
        <v>70</v>
      </c>
      <c r="F31" s="436">
        <v>71</v>
      </c>
      <c r="G31" s="448">
        <f t="shared" si="6"/>
        <v>271</v>
      </c>
      <c r="H31" s="345"/>
      <c r="I31" s="345"/>
    </row>
    <row r="32" spans="1:9">
      <c r="A32" s="280" t="s">
        <v>523</v>
      </c>
      <c r="B32" s="457"/>
      <c r="C32" s="433"/>
      <c r="D32" s="433"/>
      <c r="E32" s="401"/>
      <c r="F32" s="436"/>
      <c r="G32" s="448">
        <f t="shared" si="6"/>
        <v>0</v>
      </c>
      <c r="H32" s="345"/>
      <c r="I32" s="345"/>
    </row>
    <row r="33" spans="1:9">
      <c r="A33" s="280" t="s">
        <v>524</v>
      </c>
      <c r="B33" s="457"/>
      <c r="C33" s="433">
        <v>18</v>
      </c>
      <c r="D33" s="433">
        <v>12</v>
      </c>
      <c r="E33" s="401">
        <v>6</v>
      </c>
      <c r="F33" s="436">
        <v>28</v>
      </c>
      <c r="G33" s="448">
        <f t="shared" si="6"/>
        <v>64</v>
      </c>
      <c r="H33" s="346"/>
      <c r="I33" s="345"/>
    </row>
    <row r="34" spans="1:9">
      <c r="A34" s="280" t="s">
        <v>516</v>
      </c>
      <c r="B34" s="457"/>
      <c r="C34" s="433">
        <v>12</v>
      </c>
      <c r="D34" s="433">
        <v>11</v>
      </c>
      <c r="E34" s="401">
        <v>14</v>
      </c>
      <c r="F34" s="436">
        <v>13</v>
      </c>
      <c r="G34" s="448">
        <f t="shared" si="6"/>
        <v>50</v>
      </c>
      <c r="H34" s="345"/>
      <c r="I34" s="345"/>
    </row>
    <row r="35" spans="1:9">
      <c r="A35" s="282" t="s">
        <v>515</v>
      </c>
      <c r="B35" s="457"/>
      <c r="C35" s="449">
        <v>32</v>
      </c>
      <c r="D35" s="449">
        <v>-127</v>
      </c>
      <c r="E35" s="401">
        <v>-84</v>
      </c>
      <c r="F35" s="436">
        <v>145</v>
      </c>
      <c r="G35" s="448">
        <f t="shared" si="6"/>
        <v>-34</v>
      </c>
      <c r="H35" s="345"/>
      <c r="I35" s="350"/>
    </row>
    <row r="36" spans="1:9" ht="14.25">
      <c r="A36" s="276" t="s">
        <v>525</v>
      </c>
      <c r="B36" s="458"/>
      <c r="C36" s="426"/>
      <c r="D36" s="449"/>
      <c r="E36" s="401"/>
      <c r="F36" s="436"/>
      <c r="G36" s="437"/>
      <c r="H36" s="345"/>
      <c r="I36" s="343"/>
    </row>
    <row r="37" spans="1:9" ht="29.25">
      <c r="A37" s="274" t="s">
        <v>540</v>
      </c>
      <c r="B37" s="459">
        <v>1085</v>
      </c>
      <c r="C37" s="426">
        <f>SUM(C38:C39)</f>
        <v>1</v>
      </c>
      <c r="D37" s="427">
        <f>D38</f>
        <v>14</v>
      </c>
      <c r="E37" s="429">
        <f>E38</f>
        <v>1</v>
      </c>
      <c r="F37" s="429">
        <f t="shared" ref="F37:G37" si="7">F38</f>
        <v>3</v>
      </c>
      <c r="G37" s="428">
        <f t="shared" si="7"/>
        <v>19</v>
      </c>
      <c r="H37" s="345"/>
      <c r="I37" s="343"/>
    </row>
    <row r="38" spans="1:9">
      <c r="A38" s="280" t="s">
        <v>526</v>
      </c>
      <c r="B38" s="457"/>
      <c r="C38" s="433">
        <v>1</v>
      </c>
      <c r="D38" s="450">
        <v>14</v>
      </c>
      <c r="E38" s="440">
        <v>1</v>
      </c>
      <c r="F38" s="436">
        <v>3</v>
      </c>
      <c r="G38" s="436">
        <f>SUM(C38:F38)</f>
        <v>19</v>
      </c>
      <c r="H38" s="350"/>
      <c r="I38" s="345"/>
    </row>
    <row r="39" spans="1:9" ht="13.5">
      <c r="A39" s="280" t="s">
        <v>551</v>
      </c>
      <c r="B39" s="457"/>
      <c r="C39" s="433"/>
      <c r="D39" s="450"/>
      <c r="E39" s="440">
        <v>6</v>
      </c>
      <c r="F39" s="451"/>
      <c r="G39" s="436">
        <f>SUM(C39:F39)</f>
        <v>6</v>
      </c>
      <c r="H39" s="343"/>
      <c r="I39" s="345"/>
    </row>
    <row r="40" spans="1:9" ht="28.5">
      <c r="A40" s="294" t="s">
        <v>538</v>
      </c>
      <c r="B40" s="461" t="s">
        <v>355</v>
      </c>
      <c r="C40" s="429">
        <f>SUM(C41:C46)</f>
        <v>3391</v>
      </c>
      <c r="D40" s="429">
        <f>SUM(D41:D46)</f>
        <v>4971</v>
      </c>
      <c r="E40" s="429">
        <f>SUM(E41:E46)</f>
        <v>4555.5</v>
      </c>
      <c r="F40" s="429">
        <f t="shared" ref="F40:G40" si="8">SUM(F41:F46)</f>
        <v>5468</v>
      </c>
      <c r="G40" s="429">
        <f t="shared" si="8"/>
        <v>18385.5</v>
      </c>
      <c r="H40" s="343"/>
      <c r="I40" s="351"/>
    </row>
    <row r="41" spans="1:9">
      <c r="A41" s="280" t="s">
        <v>531</v>
      </c>
      <c r="B41" s="461"/>
      <c r="C41" s="433">
        <v>1373</v>
      </c>
      <c r="D41" s="439">
        <v>1691</v>
      </c>
      <c r="E41" s="433">
        <v>1763</v>
      </c>
      <c r="F41" s="452">
        <v>1833</v>
      </c>
      <c r="G41" s="453">
        <f>SUM(C41:F41)</f>
        <v>6660</v>
      </c>
      <c r="H41" s="346"/>
      <c r="I41" s="352"/>
    </row>
    <row r="42" spans="1:9">
      <c r="A42" s="280" t="s">
        <v>560</v>
      </c>
      <c r="B42" s="461"/>
      <c r="C42" s="433"/>
      <c r="D42" s="439">
        <v>10</v>
      </c>
      <c r="E42" s="433">
        <v>354</v>
      </c>
      <c r="F42" s="436">
        <v>29</v>
      </c>
      <c r="G42" s="453">
        <f t="shared" ref="G42:G46" si="9">SUM(C42:F42)</f>
        <v>393</v>
      </c>
      <c r="H42" s="346"/>
      <c r="I42" s="352"/>
    </row>
    <row r="43" spans="1:9" ht="13.5">
      <c r="A43" s="280" t="s">
        <v>532</v>
      </c>
      <c r="B43" s="461"/>
      <c r="C43" s="433">
        <v>898</v>
      </c>
      <c r="D43" s="433">
        <v>1438</v>
      </c>
      <c r="E43" s="433">
        <v>1058</v>
      </c>
      <c r="F43" s="454">
        <v>1550</v>
      </c>
      <c r="G43" s="453">
        <f t="shared" si="9"/>
        <v>4944</v>
      </c>
      <c r="H43" s="351"/>
      <c r="I43" s="352"/>
    </row>
    <row r="44" spans="1:9">
      <c r="A44" s="280" t="s">
        <v>529</v>
      </c>
      <c r="B44" s="461"/>
      <c r="C44" s="433">
        <f>'[38]ІІ. Розр. з бюджетом'!F26</f>
        <v>0</v>
      </c>
      <c r="D44" s="433">
        <v>0</v>
      </c>
      <c r="E44" s="433"/>
      <c r="F44" s="436"/>
      <c r="G44" s="453">
        <f t="shared" si="9"/>
        <v>0</v>
      </c>
      <c r="H44" s="352"/>
      <c r="I44" s="352"/>
    </row>
    <row r="45" spans="1:9" ht="25.5">
      <c r="A45" s="311" t="s">
        <v>975</v>
      </c>
      <c r="B45" s="461"/>
      <c r="C45" s="433">
        <v>1033</v>
      </c>
      <c r="D45" s="433">
        <v>1713</v>
      </c>
      <c r="E45" s="433">
        <v>1289.5</v>
      </c>
      <c r="F45" s="436">
        <v>1914</v>
      </c>
      <c r="G45" s="453">
        <f t="shared" si="9"/>
        <v>5949.5</v>
      </c>
      <c r="H45" s="352"/>
      <c r="I45" s="352"/>
    </row>
    <row r="46" spans="1:9">
      <c r="A46" s="311" t="s">
        <v>561</v>
      </c>
      <c r="B46" s="461"/>
      <c r="C46" s="433">
        <v>87</v>
      </c>
      <c r="D46" s="433">
        <v>119</v>
      </c>
      <c r="E46" s="433">
        <v>91</v>
      </c>
      <c r="F46" s="436">
        <v>142</v>
      </c>
      <c r="G46" s="453">
        <f t="shared" si="9"/>
        <v>439</v>
      </c>
      <c r="H46" s="352"/>
      <c r="I46" s="352"/>
    </row>
    <row r="47" spans="1:9" ht="43.5">
      <c r="A47" s="274" t="s">
        <v>539</v>
      </c>
      <c r="B47" s="462">
        <v>4020</v>
      </c>
      <c r="C47" s="429">
        <f>C48+C49</f>
        <v>15</v>
      </c>
      <c r="D47" s="429">
        <f t="shared" ref="D47:E47" si="10">D48+D49</f>
        <v>8</v>
      </c>
      <c r="E47" s="429">
        <f t="shared" si="10"/>
        <v>18</v>
      </c>
      <c r="F47" s="429">
        <f t="shared" ref="F47" si="11">F48+F49</f>
        <v>16</v>
      </c>
      <c r="G47" s="429">
        <f t="shared" ref="G47" si="12">G48+G49</f>
        <v>57</v>
      </c>
      <c r="H47" s="352"/>
      <c r="I47" s="351"/>
    </row>
    <row r="48" spans="1:9" ht="15">
      <c r="A48" s="216" t="s">
        <v>567</v>
      </c>
      <c r="B48" s="424"/>
      <c r="C48" s="433">
        <v>15</v>
      </c>
      <c r="D48" s="433">
        <v>8</v>
      </c>
      <c r="E48" s="433">
        <v>18</v>
      </c>
      <c r="F48" s="434">
        <v>16</v>
      </c>
      <c r="G48" s="435">
        <f>SUM(C48:F48)</f>
        <v>57</v>
      </c>
      <c r="H48" s="351"/>
      <c r="I48" s="352"/>
    </row>
    <row r="49" spans="1:9">
      <c r="A49" s="430"/>
      <c r="B49" s="431"/>
      <c r="C49" s="432"/>
      <c r="D49" s="433"/>
      <c r="E49" s="401"/>
      <c r="F49" s="434"/>
      <c r="G49" s="435"/>
      <c r="H49" s="352"/>
      <c r="I49" s="352"/>
    </row>
    <row r="50" spans="1:9" ht="15">
      <c r="A50" s="353"/>
      <c r="B50" s="353"/>
      <c r="C50" s="353"/>
      <c r="D50" s="352"/>
      <c r="E50" s="353"/>
      <c r="F50" s="354"/>
      <c r="G50" s="355"/>
      <c r="H50" s="352"/>
      <c r="I50" s="352"/>
    </row>
    <row r="51" spans="1:9" ht="15">
      <c r="A51" s="353"/>
      <c r="B51" s="353"/>
      <c r="C51" s="353"/>
      <c r="D51" s="352"/>
      <c r="E51" s="353"/>
      <c r="F51" s="354"/>
      <c r="G51" s="355"/>
      <c r="H51" s="352"/>
      <c r="I51" s="352"/>
    </row>
    <row r="52" spans="1:9">
      <c r="A52" s="353"/>
      <c r="B52" s="353"/>
      <c r="C52" s="353"/>
      <c r="D52" s="353"/>
      <c r="E52" s="353"/>
      <c r="F52" s="353"/>
      <c r="G52" s="353"/>
      <c r="H52" s="353"/>
      <c r="I52" s="353"/>
    </row>
    <row r="53" spans="1:9">
      <c r="A53" s="353"/>
      <c r="B53" s="353"/>
      <c r="C53" s="353"/>
      <c r="D53" s="353"/>
      <c r="E53" s="353"/>
      <c r="F53" s="353"/>
      <c r="G53" s="353"/>
      <c r="H53" s="353"/>
      <c r="I53" s="353"/>
    </row>
  </sheetData>
  <mergeCells count="1">
    <mergeCell ref="A1:G1"/>
  </mergeCells>
  <pageMargins left="1.299212598425197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P258"/>
  <sheetViews>
    <sheetView view="pageBreakPreview" topLeftCell="A25" zoomScale="75" zoomScaleNormal="60" zoomScaleSheetLayoutView="75" workbookViewId="0">
      <selection activeCell="A29" sqref="A29:F29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465</v>
      </c>
      <c r="B1" s="18"/>
      <c r="D1" s="2"/>
      <c r="E1" s="2" t="s">
        <v>485</v>
      </c>
      <c r="F1" s="2"/>
      <c r="G1" s="2"/>
    </row>
    <row r="2" spans="1:10">
      <c r="B2" s="18"/>
      <c r="D2" s="2"/>
      <c r="E2" s="2" t="s">
        <v>473</v>
      </c>
      <c r="F2" s="2"/>
      <c r="G2" s="2"/>
    </row>
    <row r="3" spans="1:10" ht="18.75" customHeight="1">
      <c r="A3" s="519"/>
      <c r="B3" s="520"/>
      <c r="D3" s="18"/>
      <c r="E3" s="2" t="s">
        <v>474</v>
      </c>
      <c r="F3" s="2"/>
      <c r="G3" s="2"/>
    </row>
    <row r="4" spans="1:10" ht="42" customHeight="1">
      <c r="A4" s="21" t="s">
        <v>466</v>
      </c>
      <c r="D4" s="18"/>
      <c r="E4" s="512" t="s">
        <v>0</v>
      </c>
      <c r="F4" s="512"/>
      <c r="G4" s="512"/>
      <c r="J4" s="40"/>
    </row>
    <row r="5" spans="1:10" ht="18.75" customHeight="1">
      <c r="A5" s="242"/>
      <c r="B5" s="242"/>
      <c r="D5" s="18"/>
      <c r="E5" s="18"/>
      <c r="F5" s="18"/>
      <c r="G5" s="511"/>
      <c r="H5" s="511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521" t="s">
        <v>467</v>
      </c>
      <c r="B8" s="521"/>
      <c r="D8" s="18"/>
      <c r="E8" s="18"/>
      <c r="F8" s="18"/>
      <c r="G8" s="511"/>
      <c r="H8" s="511"/>
      <c r="I8" s="511"/>
      <c r="J8" s="511"/>
    </row>
    <row r="9" spans="1:10" ht="18.75" customHeight="1">
      <c r="E9" s="1" t="s">
        <v>470</v>
      </c>
      <c r="F9" s="1"/>
      <c r="G9" s="1"/>
      <c r="H9" s="1"/>
    </row>
    <row r="10" spans="1:10">
      <c r="A10" s="52" t="s">
        <v>468</v>
      </c>
      <c r="C10" s="3"/>
      <c r="D10" s="22"/>
      <c r="E10" s="243"/>
      <c r="F10" s="243"/>
      <c r="G10" s="243"/>
      <c r="H10" s="243"/>
    </row>
    <row r="11" spans="1:10" ht="18.75" customHeight="1">
      <c r="A11" s="513"/>
      <c r="B11" s="513"/>
      <c r="C11" s="146"/>
      <c r="D11" s="146"/>
      <c r="E11" s="244" t="s">
        <v>471</v>
      </c>
      <c r="F11" s="244"/>
      <c r="G11" s="244"/>
      <c r="H11" s="244"/>
    </row>
    <row r="12" spans="1:10" ht="20.25" customHeight="1">
      <c r="A12" s="514" t="s">
        <v>469</v>
      </c>
      <c r="B12" s="514"/>
      <c r="D12" s="2"/>
      <c r="E12" s="243"/>
      <c r="F12" s="243"/>
      <c r="G12" s="243"/>
      <c r="H12" s="243"/>
    </row>
    <row r="13" spans="1:10" ht="19.5" customHeight="1">
      <c r="A13" s="522"/>
      <c r="B13" s="522"/>
      <c r="E13" s="244" t="s">
        <v>472</v>
      </c>
      <c r="F13" s="244"/>
      <c r="G13" s="244"/>
      <c r="H13" s="244"/>
    </row>
    <row r="14" spans="1:10" ht="19.5" customHeight="1">
      <c r="A14" s="21"/>
      <c r="E14" s="243"/>
      <c r="F14" s="243"/>
      <c r="G14" s="243"/>
      <c r="H14" s="243"/>
    </row>
    <row r="15" spans="1:10" ht="19.5" customHeight="1">
      <c r="A15" s="514"/>
      <c r="B15" s="514"/>
      <c r="C15" s="3"/>
      <c r="D15" s="18"/>
      <c r="E15" s="18"/>
      <c r="F15" s="18"/>
      <c r="G15" s="512"/>
      <c r="H15" s="512"/>
      <c r="I15" s="512"/>
      <c r="J15" s="512"/>
    </row>
    <row r="16" spans="1:10" ht="16.5" customHeight="1">
      <c r="A16" s="521" t="s">
        <v>467</v>
      </c>
      <c r="B16" s="521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521"/>
      <c r="B18" s="521"/>
      <c r="D18" s="18"/>
      <c r="E18" s="2" t="s">
        <v>467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515"/>
      <c r="C20" s="515"/>
      <c r="D20" s="515"/>
      <c r="E20" s="200"/>
      <c r="F20" s="201"/>
      <c r="G20" s="5" t="s">
        <v>181</v>
      </c>
    </row>
    <row r="21" spans="1:10" ht="34.5" customHeight="1">
      <c r="A21" s="518" t="s">
        <v>543</v>
      </c>
      <c r="B21" s="515"/>
      <c r="C21" s="515"/>
      <c r="D21" s="515"/>
      <c r="E21" s="515"/>
      <c r="F21" s="12" t="s">
        <v>95</v>
      </c>
      <c r="G21" s="5">
        <v>30664897</v>
      </c>
    </row>
    <row r="22" spans="1:10" ht="28.5" customHeight="1">
      <c r="A22" s="49" t="s">
        <v>9</v>
      </c>
      <c r="B22" s="515"/>
      <c r="C22" s="515"/>
      <c r="D22" s="515"/>
      <c r="E22" s="50"/>
      <c r="F22" s="12" t="s">
        <v>94</v>
      </c>
      <c r="G22" s="5"/>
    </row>
    <row r="23" spans="1:10" ht="27" customHeight="1">
      <c r="A23" s="49" t="s">
        <v>14</v>
      </c>
      <c r="B23" s="515"/>
      <c r="C23" s="515"/>
      <c r="D23" s="515"/>
      <c r="E23" s="50"/>
      <c r="F23" s="12" t="s">
        <v>93</v>
      </c>
      <c r="G23" s="5">
        <v>3210300000</v>
      </c>
    </row>
    <row r="24" spans="1:10" ht="27" customHeight="1">
      <c r="A24" s="53" t="s">
        <v>64</v>
      </c>
      <c r="B24" s="515"/>
      <c r="C24" s="515"/>
      <c r="D24" s="515"/>
      <c r="E24" s="55"/>
      <c r="F24" s="12" t="s">
        <v>7</v>
      </c>
      <c r="G24" s="5"/>
    </row>
    <row r="25" spans="1:10" ht="24.75" customHeight="1">
      <c r="A25" s="53" t="s">
        <v>11</v>
      </c>
      <c r="B25" s="515"/>
      <c r="C25" s="515"/>
      <c r="D25" s="515"/>
      <c r="E25" s="55"/>
      <c r="F25" s="12" t="s">
        <v>6</v>
      </c>
      <c r="G25" s="5"/>
    </row>
    <row r="26" spans="1:10" ht="33.75" customHeight="1">
      <c r="A26" s="53" t="s">
        <v>10</v>
      </c>
      <c r="B26" s="515"/>
      <c r="C26" s="515"/>
      <c r="D26" s="515"/>
      <c r="E26" s="55"/>
      <c r="F26" s="12" t="s">
        <v>8</v>
      </c>
      <c r="G26" s="5" t="s">
        <v>548</v>
      </c>
    </row>
    <row r="27" spans="1:10" ht="40.5" customHeight="1">
      <c r="A27" s="53" t="s">
        <v>237</v>
      </c>
      <c r="B27" s="515"/>
      <c r="C27" s="515"/>
      <c r="D27" s="515"/>
      <c r="E27" s="515" t="s">
        <v>132</v>
      </c>
      <c r="F27" s="516"/>
      <c r="G27" s="10"/>
    </row>
    <row r="28" spans="1:10" ht="36" customHeight="1">
      <c r="A28" s="53" t="s">
        <v>15</v>
      </c>
      <c r="B28" s="515"/>
      <c r="C28" s="515"/>
      <c r="D28" s="515"/>
      <c r="E28" s="515" t="s">
        <v>133</v>
      </c>
      <c r="F28" s="517"/>
      <c r="G28" s="10"/>
    </row>
    <row r="29" spans="1:10" ht="33" customHeight="1">
      <c r="A29" s="518" t="s">
        <v>965</v>
      </c>
      <c r="B29" s="515"/>
      <c r="C29" s="515"/>
      <c r="D29" s="515"/>
      <c r="E29" s="515"/>
      <c r="F29" s="515"/>
      <c r="G29" s="54"/>
    </row>
    <row r="30" spans="1:10" ht="30.75" customHeight="1">
      <c r="A30" s="518" t="s">
        <v>544</v>
      </c>
      <c r="B30" s="515"/>
      <c r="C30" s="515"/>
      <c r="D30" s="515"/>
      <c r="E30" s="515"/>
      <c r="F30" s="515"/>
      <c r="G30" s="515"/>
      <c r="H30" s="55"/>
    </row>
    <row r="31" spans="1:10" ht="34.5" customHeight="1">
      <c r="A31" s="270" t="s">
        <v>545</v>
      </c>
      <c r="B31" s="54"/>
      <c r="C31" s="54"/>
      <c r="D31" s="54"/>
      <c r="E31" s="54"/>
      <c r="F31" s="54"/>
      <c r="G31" s="54"/>
      <c r="H31" s="55"/>
    </row>
    <row r="32" spans="1:10" ht="28.5" customHeight="1">
      <c r="A32" s="270" t="s">
        <v>546</v>
      </c>
      <c r="B32" s="54"/>
      <c r="C32" s="54"/>
      <c r="D32" s="54"/>
      <c r="E32" s="54"/>
      <c r="F32" s="54"/>
      <c r="G32" s="51"/>
      <c r="H32" s="51"/>
    </row>
    <row r="33" spans="1:7" ht="269.25" customHeight="1">
      <c r="A33" s="523"/>
      <c r="B33" s="523"/>
      <c r="C33" s="523"/>
      <c r="D33" s="2"/>
      <c r="E33" s="2"/>
      <c r="F33" s="2"/>
      <c r="G33" s="2"/>
    </row>
    <row r="34" spans="1:7" ht="27.75" customHeight="1">
      <c r="A34" s="505"/>
      <c r="B34" s="505"/>
      <c r="C34" s="505"/>
      <c r="D34" s="505"/>
      <c r="E34" s="505"/>
      <c r="F34" s="505"/>
      <c r="G34" s="505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3"/>
      <c r="B37" s="163"/>
      <c r="C37" s="163"/>
      <c r="D37" s="163"/>
      <c r="E37" s="163"/>
      <c r="F37" s="163"/>
      <c r="G37" s="163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4"/>
      <c r="C41" s="40"/>
      <c r="D41" s="35"/>
      <c r="E41" s="35"/>
      <c r="F41" s="35"/>
      <c r="G41" s="35"/>
    </row>
    <row r="42" spans="1:7" ht="66" customHeight="1">
      <c r="B42" s="164"/>
      <c r="C42" s="40"/>
      <c r="D42" s="41"/>
      <c r="E42" s="41"/>
      <c r="F42" s="41"/>
      <c r="G42" s="41"/>
    </row>
    <row r="43" spans="1:7" ht="12.75" customHeight="1">
      <c r="A43" s="154"/>
      <c r="B43" s="155"/>
      <c r="C43" s="154"/>
      <c r="D43" s="154"/>
      <c r="E43" s="155"/>
      <c r="F43" s="154"/>
      <c r="G43" s="155"/>
    </row>
    <row r="44" spans="1:7" ht="27.75" customHeight="1">
      <c r="A44" s="165"/>
      <c r="B44" s="165"/>
      <c r="C44" s="165"/>
      <c r="D44" s="165"/>
      <c r="E44" s="165"/>
      <c r="F44" s="165"/>
      <c r="G44" s="165"/>
    </row>
    <row r="45" spans="1:7" ht="27" customHeight="1">
      <c r="A45" s="156"/>
      <c r="B45" s="155"/>
      <c r="C45" s="157"/>
      <c r="D45" s="157"/>
      <c r="E45" s="157"/>
      <c r="F45" s="157"/>
      <c r="G45" s="73"/>
    </row>
    <row r="46" spans="1:7" ht="38.25" customHeight="1">
      <c r="A46" s="156"/>
      <c r="B46" s="155"/>
      <c r="C46" s="157"/>
      <c r="D46" s="157"/>
      <c r="E46" s="157"/>
      <c r="F46" s="157"/>
      <c r="G46" s="73"/>
    </row>
    <row r="47" spans="1:7" ht="20.100000000000001" customHeight="1">
      <c r="A47" s="158"/>
      <c r="B47" s="155"/>
      <c r="C47" s="157"/>
      <c r="D47" s="157"/>
      <c r="E47" s="157"/>
      <c r="F47" s="157"/>
      <c r="G47" s="73"/>
    </row>
    <row r="48" spans="1:7" ht="20.100000000000001" customHeight="1">
      <c r="A48" s="156"/>
      <c r="B48" s="155"/>
      <c r="C48" s="157"/>
      <c r="D48" s="157"/>
      <c r="E48" s="157"/>
      <c r="F48" s="157"/>
      <c r="G48" s="73"/>
    </row>
    <row r="49" spans="1:7" ht="20.100000000000001" customHeight="1">
      <c r="A49" s="156"/>
      <c r="B49" s="155"/>
      <c r="C49" s="157"/>
      <c r="D49" s="157"/>
      <c r="E49" s="157"/>
      <c r="F49" s="157"/>
      <c r="G49" s="73"/>
    </row>
    <row r="50" spans="1:7" ht="27" customHeight="1">
      <c r="A50" s="156"/>
      <c r="B50" s="155"/>
      <c r="C50" s="157"/>
      <c r="D50" s="157"/>
      <c r="E50" s="157"/>
      <c r="F50" s="157"/>
      <c r="G50" s="73"/>
    </row>
    <row r="51" spans="1:7" ht="20.100000000000001" customHeight="1">
      <c r="A51" s="159"/>
      <c r="B51" s="155"/>
      <c r="C51" s="157"/>
      <c r="D51" s="157"/>
      <c r="E51" s="157"/>
      <c r="F51" s="157"/>
      <c r="G51" s="73"/>
    </row>
    <row r="52" spans="1:7" ht="37.5" customHeight="1">
      <c r="A52" s="160"/>
      <c r="B52" s="155"/>
      <c r="C52" s="157"/>
      <c r="D52" s="157"/>
      <c r="E52" s="157"/>
      <c r="F52" s="157"/>
      <c r="G52" s="73"/>
    </row>
    <row r="53" spans="1:7" ht="21" customHeight="1">
      <c r="A53" s="156"/>
      <c r="B53" s="155"/>
      <c r="C53" s="157"/>
      <c r="D53" s="157"/>
      <c r="E53" s="157"/>
      <c r="F53" s="157"/>
      <c r="G53" s="73"/>
    </row>
    <row r="54" spans="1:7" ht="20.100000000000001" customHeight="1">
      <c r="A54" s="161"/>
      <c r="B54" s="155"/>
      <c r="C54" s="157"/>
      <c r="D54" s="157"/>
      <c r="E54" s="157"/>
      <c r="F54" s="157"/>
      <c r="G54" s="73"/>
    </row>
    <row r="55" spans="1:7" ht="20.100000000000001" customHeight="1">
      <c r="A55" s="23"/>
      <c r="B55" s="155"/>
      <c r="C55" s="157"/>
      <c r="D55" s="157"/>
      <c r="E55" s="157"/>
      <c r="F55" s="157"/>
      <c r="G55" s="73"/>
    </row>
    <row r="56" spans="1:7" ht="20.100000000000001" customHeight="1">
      <c r="A56" s="159"/>
      <c r="B56" s="155"/>
      <c r="C56" s="157"/>
      <c r="D56" s="157"/>
      <c r="E56" s="157"/>
      <c r="F56" s="157"/>
      <c r="G56" s="73"/>
    </row>
    <row r="57" spans="1:7" ht="18" customHeight="1">
      <c r="A57" s="160"/>
      <c r="B57" s="155"/>
      <c r="C57" s="157"/>
      <c r="D57" s="157"/>
      <c r="E57" s="157"/>
      <c r="F57" s="157"/>
      <c r="G57" s="73"/>
    </row>
    <row r="58" spans="1:7" ht="0.75" hidden="1" customHeight="1">
      <c r="A58" s="160"/>
      <c r="B58" s="41"/>
      <c r="C58" s="72"/>
      <c r="D58" s="72"/>
      <c r="E58" s="166"/>
      <c r="F58" s="166"/>
      <c r="G58" s="166"/>
    </row>
    <row r="59" spans="1:7" ht="18.75" hidden="1" customHeight="1" outlineLevel="1">
      <c r="A59" s="165"/>
      <c r="B59" s="165"/>
      <c r="C59" s="165"/>
      <c r="D59" s="165"/>
      <c r="E59" s="165"/>
      <c r="F59" s="165"/>
      <c r="G59" s="165"/>
    </row>
    <row r="60" spans="1:7" ht="21" customHeight="1" collapsed="1">
      <c r="A60" s="160"/>
      <c r="B60" s="155"/>
      <c r="C60" s="157"/>
      <c r="D60" s="157"/>
      <c r="E60" s="157"/>
      <c r="F60" s="157"/>
      <c r="G60" s="73"/>
    </row>
    <row r="61" spans="1:7" ht="23.25" customHeight="1">
      <c r="A61" s="46"/>
      <c r="B61" s="155"/>
      <c r="C61" s="157"/>
      <c r="D61" s="157"/>
      <c r="E61" s="157"/>
      <c r="F61" s="157"/>
      <c r="G61" s="73"/>
    </row>
    <row r="62" spans="1:7" ht="36.75" customHeight="1">
      <c r="A62" s="46"/>
      <c r="B62" s="155"/>
      <c r="C62" s="157"/>
      <c r="D62" s="157"/>
      <c r="E62" s="157"/>
      <c r="F62" s="157"/>
      <c r="G62" s="73"/>
    </row>
    <row r="63" spans="1:7" ht="37.5" customHeight="1">
      <c r="A63" s="160"/>
      <c r="B63" s="155"/>
      <c r="C63" s="157"/>
      <c r="D63" s="157"/>
      <c r="E63" s="157"/>
      <c r="F63" s="157"/>
      <c r="G63" s="73"/>
    </row>
    <row r="64" spans="1:7" ht="37.5" customHeight="1">
      <c r="A64" s="160"/>
      <c r="B64" s="155"/>
      <c r="C64" s="157"/>
      <c r="D64" s="157"/>
      <c r="E64" s="157"/>
      <c r="F64" s="157"/>
      <c r="G64" s="73"/>
    </row>
    <row r="65" spans="1:7" ht="21" customHeight="1">
      <c r="A65" s="161"/>
      <c r="B65" s="155"/>
      <c r="C65" s="157"/>
      <c r="D65" s="157"/>
      <c r="E65" s="157"/>
      <c r="F65" s="157"/>
      <c r="G65" s="73"/>
    </row>
    <row r="66" spans="1:7" ht="20.100000000000001" customHeight="1">
      <c r="A66" s="165"/>
      <c r="B66" s="165"/>
      <c r="C66" s="165"/>
      <c r="D66" s="165"/>
      <c r="E66" s="165"/>
      <c r="F66" s="165"/>
      <c r="G66" s="165"/>
    </row>
    <row r="67" spans="1:7" ht="19.5" customHeight="1">
      <c r="A67" s="23"/>
      <c r="B67" s="154"/>
      <c r="C67" s="157"/>
      <c r="D67" s="157"/>
      <c r="E67" s="157"/>
      <c r="F67" s="157"/>
      <c r="G67" s="73"/>
    </row>
    <row r="68" spans="1:7" ht="20.100000000000001" customHeight="1">
      <c r="A68" s="23"/>
      <c r="B68" s="154"/>
      <c r="C68" s="157"/>
      <c r="D68" s="157"/>
      <c r="E68" s="157"/>
      <c r="F68" s="157"/>
      <c r="G68" s="73"/>
    </row>
    <row r="69" spans="1:7" ht="21" customHeight="1">
      <c r="A69" s="159"/>
      <c r="B69" s="154"/>
      <c r="C69" s="157"/>
      <c r="D69" s="157"/>
      <c r="E69" s="157"/>
      <c r="F69" s="157"/>
      <c r="G69" s="73"/>
    </row>
    <row r="70" spans="1:7" ht="24" customHeight="1">
      <c r="A70" s="167"/>
      <c r="B70" s="167"/>
      <c r="C70" s="167"/>
      <c r="D70" s="167"/>
      <c r="E70" s="167"/>
      <c r="F70" s="167"/>
      <c r="G70" s="167"/>
    </row>
    <row r="71" spans="1:7" ht="16.5" customHeight="1">
      <c r="A71" s="160"/>
      <c r="B71" s="154"/>
      <c r="C71" s="157"/>
      <c r="D71" s="157"/>
      <c r="E71" s="157"/>
      <c r="F71" s="157"/>
      <c r="G71" s="73"/>
    </row>
    <row r="72" spans="1:7" ht="20.100000000000001" customHeight="1">
      <c r="A72" s="168"/>
      <c r="B72" s="168"/>
      <c r="C72" s="168"/>
      <c r="D72" s="168"/>
      <c r="E72" s="168"/>
      <c r="F72" s="168"/>
      <c r="G72" s="168"/>
    </row>
    <row r="73" spans="1:7" ht="16.5" customHeight="1">
      <c r="A73" s="160"/>
      <c r="B73" s="154"/>
      <c r="C73" s="157"/>
      <c r="D73" s="157"/>
      <c r="E73" s="157"/>
      <c r="F73" s="157"/>
      <c r="G73" s="73"/>
    </row>
    <row r="74" spans="1:7" ht="20.100000000000001" customHeight="1">
      <c r="A74" s="160"/>
      <c r="B74" s="154"/>
      <c r="C74" s="157"/>
      <c r="D74" s="157"/>
      <c r="E74" s="157"/>
      <c r="F74" s="157"/>
      <c r="G74" s="73"/>
    </row>
    <row r="75" spans="1:7" ht="20.100000000000001" customHeight="1">
      <c r="A75" s="165"/>
      <c r="B75" s="165"/>
      <c r="C75" s="165"/>
      <c r="D75" s="165"/>
      <c r="E75" s="165"/>
      <c r="F75" s="165"/>
      <c r="G75" s="165"/>
    </row>
    <row r="76" spans="1:7" ht="18" customHeight="1">
      <c r="A76" s="160"/>
      <c r="B76" s="154"/>
      <c r="C76" s="157"/>
      <c r="D76" s="157"/>
      <c r="E76" s="157"/>
      <c r="F76" s="157"/>
      <c r="G76" s="73"/>
    </row>
    <row r="77" spans="1:7" ht="20.100000000000001" customHeight="1">
      <c r="A77" s="160"/>
      <c r="B77" s="154"/>
      <c r="C77" s="157"/>
      <c r="D77" s="157"/>
      <c r="E77" s="157"/>
      <c r="F77" s="157"/>
      <c r="G77" s="73"/>
    </row>
    <row r="78" spans="1:7" ht="20.100000000000001" customHeight="1">
      <c r="A78" s="162"/>
      <c r="B78" s="154"/>
      <c r="C78" s="157"/>
      <c r="D78" s="157"/>
      <c r="E78" s="157"/>
      <c r="F78" s="157"/>
      <c r="G78" s="73"/>
    </row>
    <row r="79" spans="1:7" ht="20.100000000000001" customHeight="1">
      <c r="A79" s="161"/>
      <c r="B79" s="154"/>
      <c r="C79" s="157"/>
      <c r="D79" s="157"/>
      <c r="E79" s="157"/>
      <c r="F79" s="157"/>
      <c r="G79" s="73"/>
    </row>
    <row r="80" spans="1:7" s="4" customFormat="1" ht="20.100000000000001" customHeight="1">
      <c r="A80" s="160"/>
      <c r="B80" s="154"/>
      <c r="C80" s="157"/>
      <c r="D80" s="157"/>
      <c r="E80" s="157"/>
      <c r="F80" s="157"/>
      <c r="G80" s="73"/>
    </row>
    <row r="81" spans="1:16" ht="20.100000000000001" customHeight="1">
      <c r="A81" s="160"/>
      <c r="B81" s="154"/>
      <c r="C81" s="157"/>
      <c r="D81" s="157"/>
      <c r="E81" s="157"/>
      <c r="F81" s="157"/>
      <c r="G81" s="73"/>
    </row>
    <row r="82" spans="1:16" ht="20.100000000000001" customHeight="1">
      <c r="A82" s="161"/>
      <c r="B82" s="154"/>
      <c r="C82" s="157"/>
      <c r="D82" s="157"/>
      <c r="E82" s="157"/>
      <c r="F82" s="157"/>
      <c r="G82" s="73"/>
    </row>
    <row r="83" spans="1:16" s="4" customFormat="1" ht="20.100000000000001" customHeight="1">
      <c r="A83" s="160"/>
      <c r="B83" s="154"/>
      <c r="C83" s="157"/>
      <c r="D83" s="157"/>
      <c r="E83" s="157"/>
      <c r="F83" s="157"/>
      <c r="G83" s="73"/>
    </row>
    <row r="84" spans="1:16" ht="20.100000000000001" customHeight="1">
      <c r="A84" s="160"/>
      <c r="B84" s="154"/>
      <c r="C84" s="157"/>
      <c r="D84" s="157"/>
      <c r="E84" s="157"/>
      <c r="F84" s="157"/>
      <c r="G84" s="73"/>
    </row>
    <row r="85" spans="1:16" ht="20.100000000000001" customHeight="1">
      <c r="A85" s="161"/>
      <c r="B85" s="88"/>
      <c r="C85" s="157"/>
      <c r="D85" s="157"/>
      <c r="E85" s="157"/>
      <c r="F85" s="157"/>
      <c r="G85" s="73"/>
    </row>
    <row r="86" spans="1:16" s="4" customFormat="1" ht="20.100000000000001" customHeight="1">
      <c r="A86" s="161"/>
      <c r="B86" s="21"/>
      <c r="C86" s="157"/>
      <c r="D86" s="157"/>
      <c r="E86" s="157"/>
      <c r="F86" s="157"/>
      <c r="G86" s="73"/>
    </row>
    <row r="87" spans="1:16" ht="8.25" customHeight="1">
      <c r="A87" s="23"/>
    </row>
    <row r="88" spans="1:16" ht="21.75" customHeight="1">
      <c r="A88" s="93"/>
      <c r="B88" s="94"/>
      <c r="C88" s="150"/>
      <c r="D88" s="95"/>
      <c r="E88" s="138"/>
      <c r="F88" s="138"/>
      <c r="G88" s="138"/>
    </row>
    <row r="89" spans="1:16" s="1" customFormat="1" ht="20.100000000000001" customHeight="1">
      <c r="A89" s="96"/>
      <c r="B89" s="97"/>
      <c r="C89" s="96"/>
      <c r="D89" s="97"/>
      <c r="E89" s="97"/>
      <c r="F89" s="97"/>
      <c r="G89" s="97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7"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F29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I316"/>
  <sheetViews>
    <sheetView tabSelected="1" view="pageBreakPreview" zoomScaleNormal="75" zoomScaleSheetLayoutView="75" workbookViewId="0">
      <selection activeCell="F87" sqref="F87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53" customWidth="1"/>
    <col min="9" max="9" width="15.85546875" style="21" customWidth="1"/>
    <col min="10" max="16384" width="9.140625" style="2"/>
  </cols>
  <sheetData>
    <row r="1" spans="1:9" ht="30.75" customHeight="1">
      <c r="A1" s="524" t="s">
        <v>80</v>
      </c>
      <c r="B1" s="524"/>
      <c r="C1" s="524"/>
      <c r="D1" s="524"/>
      <c r="E1" s="524"/>
      <c r="F1" s="524"/>
      <c r="G1" s="524"/>
      <c r="H1" s="524"/>
      <c r="I1" s="524"/>
    </row>
    <row r="2" spans="1:9" ht="5.25" customHeight="1">
      <c r="A2" s="34"/>
      <c r="B2" s="41"/>
      <c r="C2" s="41"/>
      <c r="D2" s="41"/>
      <c r="E2" s="41"/>
      <c r="F2" s="41"/>
      <c r="G2" s="41"/>
      <c r="H2" s="246"/>
      <c r="I2" s="41"/>
    </row>
    <row r="3" spans="1:9" ht="42" customHeight="1">
      <c r="A3" s="507" t="s">
        <v>200</v>
      </c>
      <c r="B3" s="508" t="s">
        <v>12</v>
      </c>
      <c r="C3" s="510" t="s">
        <v>475</v>
      </c>
      <c r="D3" s="510"/>
      <c r="E3" s="509" t="s">
        <v>478</v>
      </c>
      <c r="F3" s="509"/>
      <c r="G3" s="509"/>
      <c r="H3" s="509"/>
      <c r="I3" s="525" t="s">
        <v>194</v>
      </c>
    </row>
    <row r="4" spans="1:9" ht="72.75" customHeight="1">
      <c r="A4" s="507"/>
      <c r="B4" s="508"/>
      <c r="C4" s="356" t="s">
        <v>476</v>
      </c>
      <c r="D4" s="357" t="s">
        <v>477</v>
      </c>
      <c r="E4" s="47" t="s">
        <v>184</v>
      </c>
      <c r="F4" s="47" t="s">
        <v>174</v>
      </c>
      <c r="G4" s="47" t="s">
        <v>375</v>
      </c>
      <c r="H4" s="247" t="s">
        <v>376</v>
      </c>
      <c r="I4" s="526"/>
    </row>
    <row r="5" spans="1:9" ht="12" customHeight="1">
      <c r="A5" s="106">
        <v>1</v>
      </c>
      <c r="B5" s="107">
        <v>2</v>
      </c>
      <c r="C5" s="106">
        <v>3</v>
      </c>
      <c r="D5" s="106">
        <v>4</v>
      </c>
      <c r="E5" s="107">
        <v>5</v>
      </c>
      <c r="F5" s="106">
        <v>6</v>
      </c>
      <c r="G5" s="106">
        <v>7</v>
      </c>
      <c r="H5" s="255">
        <v>8</v>
      </c>
      <c r="I5" s="106">
        <v>9</v>
      </c>
    </row>
    <row r="6" spans="1:9" s="4" customFormat="1" ht="18.75" customHeight="1">
      <c r="A6" s="530" t="s">
        <v>193</v>
      </c>
      <c r="B6" s="530"/>
      <c r="C6" s="530"/>
      <c r="D6" s="530"/>
      <c r="E6" s="530"/>
      <c r="F6" s="530"/>
      <c r="G6" s="530"/>
      <c r="H6" s="530"/>
      <c r="I6" s="530"/>
    </row>
    <row r="7" spans="1:9" s="4" customFormat="1" ht="39" customHeight="1">
      <c r="A7" s="190" t="s">
        <v>373</v>
      </c>
      <c r="B7" s="98">
        <v>1000</v>
      </c>
      <c r="C7" s="204">
        <v>48254</v>
      </c>
      <c r="D7" s="204">
        <f>11974+12742+12469+12508</f>
        <v>49693</v>
      </c>
      <c r="E7" s="204">
        <v>11455</v>
      </c>
      <c r="F7" s="204">
        <v>12508</v>
      </c>
      <c r="G7" s="202">
        <f>F7-E7</f>
        <v>1053</v>
      </c>
      <c r="H7" s="248">
        <f>F7/E7*100</f>
        <v>109.19249236141424</v>
      </c>
      <c r="I7" s="66"/>
    </row>
    <row r="8" spans="1:9" ht="39" customHeight="1">
      <c r="A8" s="190" t="s">
        <v>374</v>
      </c>
      <c r="B8" s="186">
        <v>1010</v>
      </c>
      <c r="C8" s="202">
        <f>SUM(C9:C16)</f>
        <v>-40652</v>
      </c>
      <c r="D8" s="202">
        <f>SUM(D9:D16)</f>
        <v>-41547</v>
      </c>
      <c r="E8" s="202">
        <f>SUM(E9:E16)</f>
        <v>-9784</v>
      </c>
      <c r="F8" s="202">
        <f>SUM(F9:F16)</f>
        <v>-11110</v>
      </c>
      <c r="G8" s="202">
        <f>F8-E8</f>
        <v>-1326</v>
      </c>
      <c r="H8" s="248">
        <f>F8/E8*100</f>
        <v>113.55273916598527</v>
      </c>
      <c r="I8" s="66"/>
    </row>
    <row r="9" spans="1:9" s="1" customFormat="1" ht="16.5" customHeight="1">
      <c r="A9" s="102" t="s">
        <v>199</v>
      </c>
      <c r="B9" s="89">
        <v>1011</v>
      </c>
      <c r="C9" s="103">
        <v>-2487</v>
      </c>
      <c r="D9" s="103">
        <f>-448+-533+-1089+-358</f>
        <v>-2428</v>
      </c>
      <c r="E9" s="103">
        <v>-300</v>
      </c>
      <c r="F9" s="103">
        <v>-358</v>
      </c>
      <c r="G9" s="202">
        <f t="shared" ref="G9:G16" si="0">F9-E9</f>
        <v>-58</v>
      </c>
      <c r="H9" s="248">
        <f t="shared" ref="H9:H16" si="1">F9/E9*100</f>
        <v>119.33333333333334</v>
      </c>
      <c r="I9" s="65"/>
    </row>
    <row r="10" spans="1:9" s="1" customFormat="1" ht="17.25" customHeight="1">
      <c r="A10" s="102" t="s">
        <v>57</v>
      </c>
      <c r="B10" s="89">
        <v>1012</v>
      </c>
      <c r="C10" s="103">
        <v>-664</v>
      </c>
      <c r="D10" s="103">
        <f>-110+-146+-102+-123</f>
        <v>-481</v>
      </c>
      <c r="E10" s="103">
        <v>-60</v>
      </c>
      <c r="F10" s="103">
        <v>-123</v>
      </c>
      <c r="G10" s="263">
        <f t="shared" si="0"/>
        <v>-63</v>
      </c>
      <c r="H10" s="248">
        <f t="shared" si="1"/>
        <v>204.99999999999997</v>
      </c>
      <c r="I10" s="65"/>
    </row>
    <row r="11" spans="1:9" s="1" customFormat="1" ht="15.75" customHeight="1">
      <c r="A11" s="102" t="s">
        <v>56</v>
      </c>
      <c r="B11" s="89">
        <v>1013</v>
      </c>
      <c r="C11" s="103">
        <v>-3103</v>
      </c>
      <c r="D11" s="103">
        <f>-792+-617+-606+-741</f>
        <v>-2756</v>
      </c>
      <c r="E11" s="103">
        <v>-800</v>
      </c>
      <c r="F11" s="103">
        <v>-741</v>
      </c>
      <c r="G11" s="202">
        <f t="shared" si="0"/>
        <v>59</v>
      </c>
      <c r="H11" s="248">
        <f t="shared" si="1"/>
        <v>92.625</v>
      </c>
      <c r="I11" s="65"/>
    </row>
    <row r="12" spans="1:9" s="1" customFormat="1" ht="16.5" customHeight="1">
      <c r="A12" s="102" t="s">
        <v>33</v>
      </c>
      <c r="B12" s="89">
        <v>1014</v>
      </c>
      <c r="C12" s="103">
        <v>-18587</v>
      </c>
      <c r="D12" s="103">
        <f>-4740+-4924+-4926+-5997</f>
        <v>-20587</v>
      </c>
      <c r="E12" s="103">
        <v>-4900</v>
      </c>
      <c r="F12" s="103">
        <v>-5997</v>
      </c>
      <c r="G12" s="202">
        <f t="shared" si="0"/>
        <v>-1097</v>
      </c>
      <c r="H12" s="248">
        <f t="shared" si="1"/>
        <v>122.38775510204081</v>
      </c>
      <c r="I12" s="65"/>
    </row>
    <row r="13" spans="1:9" s="1" customFormat="1" ht="15.75" customHeight="1">
      <c r="A13" s="102" t="s">
        <v>34</v>
      </c>
      <c r="B13" s="89">
        <v>1015</v>
      </c>
      <c r="C13" s="103">
        <v>-4105</v>
      </c>
      <c r="D13" s="103">
        <f>-1036+-1064+-1061+-1287</f>
        <v>-4448</v>
      </c>
      <c r="E13" s="103">
        <v>-1070</v>
      </c>
      <c r="F13" s="103">
        <v>-1287</v>
      </c>
      <c r="G13" s="202">
        <f t="shared" si="0"/>
        <v>-217</v>
      </c>
      <c r="H13" s="248">
        <f t="shared" si="1"/>
        <v>120.28037383177571</v>
      </c>
      <c r="I13" s="65"/>
    </row>
    <row r="14" spans="1:9" s="1" customFormat="1" ht="48" customHeight="1">
      <c r="A14" s="102" t="s">
        <v>368</v>
      </c>
      <c r="B14" s="89">
        <v>1016</v>
      </c>
      <c r="C14" s="103" t="s">
        <v>253</v>
      </c>
      <c r="D14" s="103" t="s">
        <v>253</v>
      </c>
      <c r="E14" s="103" t="s">
        <v>253</v>
      </c>
      <c r="F14" s="103" t="s">
        <v>253</v>
      </c>
      <c r="G14" s="202" t="e">
        <f t="shared" si="0"/>
        <v>#VALUE!</v>
      </c>
      <c r="H14" s="248" t="e">
        <f t="shared" si="1"/>
        <v>#VALUE!</v>
      </c>
      <c r="I14" s="65"/>
    </row>
    <row r="15" spans="1:9" s="1" customFormat="1" ht="28.5" customHeight="1">
      <c r="A15" s="102" t="s">
        <v>369</v>
      </c>
      <c r="B15" s="89">
        <v>1017</v>
      </c>
      <c r="C15" s="103">
        <v>-344</v>
      </c>
      <c r="D15" s="103">
        <f>-85+-81+-78+-79</f>
        <v>-323</v>
      </c>
      <c r="E15" s="103">
        <v>-86</v>
      </c>
      <c r="F15" s="103">
        <v>-79</v>
      </c>
      <c r="G15" s="202">
        <f t="shared" si="0"/>
        <v>7</v>
      </c>
      <c r="H15" s="248">
        <f t="shared" si="1"/>
        <v>91.860465116279073</v>
      </c>
      <c r="I15" s="65"/>
    </row>
    <row r="16" spans="1:9" s="1" customFormat="1" ht="18.75" customHeight="1">
      <c r="A16" s="102" t="s">
        <v>386</v>
      </c>
      <c r="B16" s="89">
        <v>1018</v>
      </c>
      <c r="C16" s="103">
        <v>-11362</v>
      </c>
      <c r="D16" s="103">
        <f>-2644+-2528+-2827+-2525</f>
        <v>-10524</v>
      </c>
      <c r="E16" s="103">
        <v>-2568</v>
      </c>
      <c r="F16" s="103">
        <v>-2525</v>
      </c>
      <c r="G16" s="202">
        <f t="shared" si="0"/>
        <v>43</v>
      </c>
      <c r="H16" s="248">
        <f t="shared" si="1"/>
        <v>98.32554517133957</v>
      </c>
      <c r="I16" s="65"/>
    </row>
    <row r="17" spans="1:9" s="4" customFormat="1" ht="24" customHeight="1">
      <c r="A17" s="193" t="s">
        <v>18</v>
      </c>
      <c r="B17" s="186">
        <v>1020</v>
      </c>
      <c r="C17" s="153">
        <f>SUM(C7,C8)</f>
        <v>7602</v>
      </c>
      <c r="D17" s="153">
        <f>SUM(D7,D8)</f>
        <v>8146</v>
      </c>
      <c r="E17" s="153">
        <f>SUM(E7,E8)</f>
        <v>1671</v>
      </c>
      <c r="F17" s="153">
        <f>SUM(F7,F8)</f>
        <v>1398</v>
      </c>
      <c r="G17" s="153">
        <f>F17-E17</f>
        <v>-273</v>
      </c>
      <c r="H17" s="249">
        <f>F17/E17*100</f>
        <v>83.662477558348286</v>
      </c>
      <c r="I17" s="205"/>
    </row>
    <row r="18" spans="1:9" s="4" customFormat="1" ht="11.25" customHeight="1">
      <c r="A18" s="193"/>
      <c r="B18" s="186"/>
      <c r="C18" s="153"/>
      <c r="D18" s="153"/>
      <c r="E18" s="153"/>
      <c r="F18" s="153"/>
      <c r="G18" s="153"/>
      <c r="H18" s="249"/>
      <c r="I18" s="205"/>
    </row>
    <row r="19" spans="1:9" ht="33.75" customHeight="1">
      <c r="A19" s="9" t="s">
        <v>377</v>
      </c>
      <c r="B19" s="98">
        <v>1030</v>
      </c>
      <c r="C19" s="82">
        <v>156</v>
      </c>
      <c r="D19" s="82">
        <f>48+209+183+124</f>
        <v>564</v>
      </c>
      <c r="E19" s="82"/>
      <c r="F19" s="82">
        <v>124</v>
      </c>
      <c r="G19" s="85">
        <f>F19-E19</f>
        <v>124</v>
      </c>
      <c r="H19" s="249" t="e">
        <f>F19/E19*100</f>
        <v>#DIV/0!</v>
      </c>
      <c r="I19" s="66"/>
    </row>
    <row r="20" spans="1:9" ht="16.5" customHeight="1">
      <c r="A20" s="102" t="s">
        <v>155</v>
      </c>
      <c r="B20" s="98">
        <v>1031</v>
      </c>
      <c r="C20" s="103"/>
      <c r="D20" s="103"/>
      <c r="E20" s="103"/>
      <c r="F20" s="103"/>
      <c r="G20" s="104">
        <f>F20-E20</f>
        <v>0</v>
      </c>
      <c r="H20" s="250"/>
      <c r="I20" s="66"/>
    </row>
    <row r="21" spans="1:9" ht="20.25" customHeight="1">
      <c r="A21" s="190" t="s">
        <v>391</v>
      </c>
      <c r="B21" s="186">
        <v>1040</v>
      </c>
      <c r="C21" s="202">
        <f>SUM(C22:C41,C43)</f>
        <v>-6349</v>
      </c>
      <c r="D21" s="202">
        <f>SUM(D22:D41,D43)</f>
        <v>-7742</v>
      </c>
      <c r="E21" s="202">
        <f>SUM(E22:E41,E43)</f>
        <v>-1668</v>
      </c>
      <c r="F21" s="202">
        <f>SUM(F22:F41,F43)</f>
        <v>-2218</v>
      </c>
      <c r="G21" s="202">
        <f>F21-E21</f>
        <v>-550</v>
      </c>
      <c r="H21" s="249">
        <f>F21/E21*100</f>
        <v>132.97362110311749</v>
      </c>
      <c r="I21" s="66"/>
    </row>
    <row r="22" spans="1:9" ht="33.75" customHeight="1">
      <c r="A22" s="102" t="s">
        <v>87</v>
      </c>
      <c r="B22" s="98">
        <v>1041</v>
      </c>
      <c r="C22" s="103" t="s">
        <v>253</v>
      </c>
      <c r="D22" s="103"/>
      <c r="E22" s="103" t="s">
        <v>253</v>
      </c>
      <c r="F22" s="103" t="s">
        <v>253</v>
      </c>
      <c r="G22" s="104"/>
      <c r="H22" s="250"/>
      <c r="I22" s="66"/>
    </row>
    <row r="23" spans="1:9" ht="21.75" customHeight="1">
      <c r="A23" s="102" t="s">
        <v>147</v>
      </c>
      <c r="B23" s="98">
        <v>1042</v>
      </c>
      <c r="C23" s="103" t="s">
        <v>253</v>
      </c>
      <c r="D23" s="103"/>
      <c r="E23" s="103" t="s">
        <v>253</v>
      </c>
      <c r="F23" s="103" t="s">
        <v>253</v>
      </c>
      <c r="G23" s="104"/>
      <c r="H23" s="250"/>
      <c r="I23" s="66"/>
    </row>
    <row r="24" spans="1:9" ht="21.75" customHeight="1">
      <c r="A24" s="102" t="s">
        <v>54</v>
      </c>
      <c r="B24" s="98">
        <v>1043</v>
      </c>
      <c r="C24" s="103" t="s">
        <v>253</v>
      </c>
      <c r="D24" s="103"/>
      <c r="E24" s="103" t="s">
        <v>253</v>
      </c>
      <c r="F24" s="103" t="s">
        <v>253</v>
      </c>
      <c r="G24" s="104"/>
      <c r="H24" s="250"/>
      <c r="I24" s="66"/>
    </row>
    <row r="25" spans="1:9" ht="18.75" customHeight="1">
      <c r="A25" s="102" t="s">
        <v>16</v>
      </c>
      <c r="B25" s="98">
        <v>1044</v>
      </c>
      <c r="C25" s="103">
        <v>-9</v>
      </c>
      <c r="D25" s="103">
        <v>-2</v>
      </c>
      <c r="E25" s="103">
        <v>-1</v>
      </c>
      <c r="F25" s="103">
        <v>0</v>
      </c>
      <c r="G25" s="104"/>
      <c r="H25" s="250"/>
      <c r="I25" s="66"/>
    </row>
    <row r="26" spans="1:9" ht="18.75" customHeight="1">
      <c r="A26" s="102" t="s">
        <v>17</v>
      </c>
      <c r="B26" s="98">
        <v>1045</v>
      </c>
      <c r="C26" s="103"/>
      <c r="D26" s="103" t="s">
        <v>253</v>
      </c>
      <c r="E26" s="103" t="s">
        <v>253</v>
      </c>
      <c r="F26" s="103" t="s">
        <v>253</v>
      </c>
      <c r="G26" s="104"/>
      <c r="H26" s="250"/>
      <c r="I26" s="66"/>
    </row>
    <row r="27" spans="1:9" s="1" customFormat="1" ht="16.5" customHeight="1">
      <c r="A27" s="102" t="s">
        <v>31</v>
      </c>
      <c r="B27" s="98">
        <v>1046</v>
      </c>
      <c r="C27" s="103">
        <v>-13</v>
      </c>
      <c r="D27" s="103">
        <f>-2+-2</f>
        <v>-4</v>
      </c>
      <c r="E27" s="103">
        <v>-2</v>
      </c>
      <c r="F27" s="103">
        <v>0</v>
      </c>
      <c r="G27" s="104"/>
      <c r="H27" s="250"/>
      <c r="I27" s="66"/>
    </row>
    <row r="28" spans="1:9" s="1" customFormat="1" ht="16.5" customHeight="1">
      <c r="A28" s="102" t="s">
        <v>32</v>
      </c>
      <c r="B28" s="98">
        <v>1047</v>
      </c>
      <c r="C28" s="103">
        <v>-27</v>
      </c>
      <c r="D28" s="103">
        <f>-8+-7+-6+-8</f>
        <v>-29</v>
      </c>
      <c r="E28" s="103">
        <v>-5</v>
      </c>
      <c r="F28" s="103">
        <v>-8</v>
      </c>
      <c r="G28" s="104"/>
      <c r="H28" s="250"/>
      <c r="I28" s="66"/>
    </row>
    <row r="29" spans="1:9" s="1" customFormat="1" ht="15" customHeight="1">
      <c r="A29" s="102" t="s">
        <v>33</v>
      </c>
      <c r="B29" s="98">
        <v>1048</v>
      </c>
      <c r="C29" s="103">
        <v>-4565</v>
      </c>
      <c r="D29" s="103">
        <f>-1365+-1280+-1460+-1467</f>
        <v>-5572</v>
      </c>
      <c r="E29" s="103">
        <v>-1200</v>
      </c>
      <c r="F29" s="103">
        <v>-1467</v>
      </c>
      <c r="G29" s="104"/>
      <c r="H29" s="250"/>
      <c r="I29" s="66"/>
    </row>
    <row r="30" spans="1:9" s="1" customFormat="1" ht="15" customHeight="1">
      <c r="A30" s="102" t="s">
        <v>34</v>
      </c>
      <c r="B30" s="98">
        <v>1049</v>
      </c>
      <c r="C30" s="103">
        <v>-1010</v>
      </c>
      <c r="D30" s="103">
        <f>-289+-268+-311+-326</f>
        <v>-1194</v>
      </c>
      <c r="E30" s="103">
        <v>-264</v>
      </c>
      <c r="F30" s="103">
        <v>-326</v>
      </c>
      <c r="G30" s="104"/>
      <c r="H30" s="250"/>
      <c r="I30" s="66"/>
    </row>
    <row r="31" spans="1:9" s="1" customFormat="1" ht="30.75" customHeight="1">
      <c r="A31" s="102" t="s">
        <v>35</v>
      </c>
      <c r="B31" s="98">
        <v>1050</v>
      </c>
      <c r="C31" s="103">
        <v>-74</v>
      </c>
      <c r="D31" s="103">
        <f>-11+-11+-14+-14</f>
        <v>-50</v>
      </c>
      <c r="E31" s="103">
        <v>-17</v>
      </c>
      <c r="F31" s="103">
        <v>-14</v>
      </c>
      <c r="G31" s="104"/>
      <c r="H31" s="250"/>
      <c r="I31" s="66"/>
    </row>
    <row r="32" spans="1:9" s="1" customFormat="1" ht="46.5" customHeight="1">
      <c r="A32" s="102" t="s">
        <v>36</v>
      </c>
      <c r="B32" s="98">
        <v>1051</v>
      </c>
      <c r="C32" s="103">
        <v>0</v>
      </c>
      <c r="D32" s="103" t="s">
        <v>253</v>
      </c>
      <c r="E32" s="103" t="s">
        <v>253</v>
      </c>
      <c r="F32" s="103" t="s">
        <v>253</v>
      </c>
      <c r="G32" s="104"/>
      <c r="H32" s="250"/>
      <c r="I32" s="66"/>
    </row>
    <row r="33" spans="1:9" s="1" customFormat="1" ht="33.75" customHeight="1">
      <c r="A33" s="102" t="s">
        <v>37</v>
      </c>
      <c r="B33" s="98">
        <v>1052</v>
      </c>
      <c r="C33" s="103" t="s">
        <v>253</v>
      </c>
      <c r="D33" s="103" t="s">
        <v>253</v>
      </c>
      <c r="E33" s="103" t="s">
        <v>253</v>
      </c>
      <c r="F33" s="103" t="s">
        <v>253</v>
      </c>
      <c r="G33" s="104"/>
      <c r="H33" s="250"/>
      <c r="I33" s="66"/>
    </row>
    <row r="34" spans="1:9" s="1" customFormat="1" ht="31.5" customHeight="1">
      <c r="A34" s="102" t="s">
        <v>370</v>
      </c>
      <c r="B34" s="98">
        <v>1053</v>
      </c>
      <c r="C34" s="103" t="s">
        <v>253</v>
      </c>
      <c r="D34" s="103" t="s">
        <v>253</v>
      </c>
      <c r="E34" s="103" t="s">
        <v>253</v>
      </c>
      <c r="F34" s="103" t="s">
        <v>253</v>
      </c>
      <c r="G34" s="104"/>
      <c r="H34" s="250"/>
      <c r="I34" s="66"/>
    </row>
    <row r="35" spans="1:9" s="1" customFormat="1" ht="21.75" customHeight="1">
      <c r="A35" s="102" t="s">
        <v>38</v>
      </c>
      <c r="B35" s="98">
        <v>1054</v>
      </c>
      <c r="C35" s="103">
        <v>-94</v>
      </c>
      <c r="D35" s="103">
        <f>-70+-37+-21+-28</f>
        <v>-156</v>
      </c>
      <c r="E35" s="103">
        <v>-16</v>
      </c>
      <c r="F35" s="103">
        <v>-28</v>
      </c>
      <c r="G35" s="104"/>
      <c r="H35" s="250"/>
      <c r="I35" s="66"/>
    </row>
    <row r="36" spans="1:9" s="1" customFormat="1" ht="20.25" customHeight="1">
      <c r="A36" s="102" t="s">
        <v>58</v>
      </c>
      <c r="B36" s="98">
        <v>1055</v>
      </c>
      <c r="C36" s="103">
        <v>-60</v>
      </c>
      <c r="D36" s="103">
        <f>-14+-12+-7</f>
        <v>-33</v>
      </c>
      <c r="E36" s="103">
        <v>-10</v>
      </c>
      <c r="F36" s="103">
        <v>-7</v>
      </c>
      <c r="G36" s="104"/>
      <c r="H36" s="250"/>
      <c r="I36" s="66"/>
    </row>
    <row r="37" spans="1:9" s="1" customFormat="1" ht="20.100000000000001" customHeight="1">
      <c r="A37" s="102" t="s">
        <v>39</v>
      </c>
      <c r="B37" s="98">
        <v>1056</v>
      </c>
      <c r="C37" s="103">
        <v>-47</v>
      </c>
      <c r="D37" s="103">
        <f>-5+-13+-9+-11</f>
        <v>-38</v>
      </c>
      <c r="E37" s="103">
        <v>-4</v>
      </c>
      <c r="F37" s="103">
        <v>-11</v>
      </c>
      <c r="G37" s="104"/>
      <c r="H37" s="250"/>
      <c r="I37" s="66"/>
    </row>
    <row r="38" spans="1:9" s="1" customFormat="1" ht="21.75" customHeight="1">
      <c r="A38" s="102" t="s">
        <v>40</v>
      </c>
      <c r="B38" s="98">
        <v>1057</v>
      </c>
      <c r="C38" s="103" t="s">
        <v>253</v>
      </c>
      <c r="D38" s="103" t="s">
        <v>253</v>
      </c>
      <c r="E38" s="103" t="s">
        <v>253</v>
      </c>
      <c r="F38" s="103" t="s">
        <v>253</v>
      </c>
      <c r="G38" s="104"/>
      <c r="H38" s="250"/>
      <c r="I38" s="66"/>
    </row>
    <row r="39" spans="1:9" s="1" customFormat="1" ht="30.75" customHeight="1">
      <c r="A39" s="102" t="s">
        <v>41</v>
      </c>
      <c r="B39" s="98">
        <v>1058</v>
      </c>
      <c r="C39" s="103" t="s">
        <v>253</v>
      </c>
      <c r="D39" s="103" t="s">
        <v>253</v>
      </c>
      <c r="E39" s="103" t="s">
        <v>253</v>
      </c>
      <c r="F39" s="103" t="s">
        <v>253</v>
      </c>
      <c r="G39" s="104"/>
      <c r="H39" s="250"/>
      <c r="I39" s="66"/>
    </row>
    <row r="40" spans="1:9" s="1" customFormat="1" ht="30.75" customHeight="1">
      <c r="A40" s="102" t="s">
        <v>42</v>
      </c>
      <c r="B40" s="98">
        <v>1059</v>
      </c>
      <c r="C40" s="103" t="s">
        <v>253</v>
      </c>
      <c r="D40" s="103" t="s">
        <v>253</v>
      </c>
      <c r="E40" s="103" t="s">
        <v>253</v>
      </c>
      <c r="F40" s="103" t="s">
        <v>253</v>
      </c>
      <c r="G40" s="104"/>
      <c r="H40" s="250"/>
      <c r="I40" s="66"/>
    </row>
    <row r="41" spans="1:9" s="1" customFormat="1" ht="50.25" customHeight="1">
      <c r="A41" s="102" t="s">
        <v>66</v>
      </c>
      <c r="B41" s="98">
        <v>1060</v>
      </c>
      <c r="C41" s="103" t="s">
        <v>253</v>
      </c>
      <c r="D41" s="103">
        <v>-37</v>
      </c>
      <c r="E41" s="103" t="s">
        <v>253</v>
      </c>
      <c r="F41" s="103">
        <v>0</v>
      </c>
      <c r="G41" s="104"/>
      <c r="H41" s="250"/>
      <c r="I41" s="66"/>
    </row>
    <row r="42" spans="1:9" s="1" customFormat="1" ht="15" customHeight="1">
      <c r="A42" s="172" t="s">
        <v>43</v>
      </c>
      <c r="B42" s="192">
        <v>1061</v>
      </c>
      <c r="C42" s="170" t="s">
        <v>253</v>
      </c>
      <c r="D42" s="170">
        <v>-37</v>
      </c>
      <c r="E42" s="170" t="s">
        <v>253</v>
      </c>
      <c r="F42" s="170">
        <v>0</v>
      </c>
      <c r="G42" s="171"/>
      <c r="H42" s="251"/>
      <c r="I42" s="66"/>
    </row>
    <row r="43" spans="1:9" s="1" customFormat="1" ht="16.5" customHeight="1">
      <c r="A43" s="102" t="s">
        <v>378</v>
      </c>
      <c r="B43" s="98">
        <v>1062</v>
      </c>
      <c r="C43" s="103">
        <v>-450</v>
      </c>
      <c r="D43" s="103">
        <f>-222+3+-51+-357</f>
        <v>-627</v>
      </c>
      <c r="E43" s="103">
        <v>-149</v>
      </c>
      <c r="F43" s="103">
        <v>-357</v>
      </c>
      <c r="G43" s="104"/>
      <c r="H43" s="250"/>
      <c r="I43" s="66"/>
    </row>
    <row r="44" spans="1:9" ht="27.75" customHeight="1">
      <c r="A44" s="358" t="s">
        <v>379</v>
      </c>
      <c r="B44" s="186">
        <v>1070</v>
      </c>
      <c r="C44" s="202">
        <f>SUM(C47:C51)</f>
        <v>0</v>
      </c>
      <c r="D44" s="202">
        <f>SUM(D47:D51)</f>
        <v>0</v>
      </c>
      <c r="E44" s="202">
        <f>SUM(E47:E51)</f>
        <v>0</v>
      </c>
      <c r="F44" s="202">
        <f>SUM(F47:F51)</f>
        <v>0</v>
      </c>
      <c r="G44" s="202">
        <f>F44-E44</f>
        <v>0</v>
      </c>
      <c r="H44" s="249" t="e">
        <f>F44/E44*100</f>
        <v>#DIV/0!</v>
      </c>
      <c r="I44" s="66"/>
    </row>
    <row r="45" spans="1:9" ht="22.5" customHeight="1">
      <c r="A45" s="102" t="s">
        <v>33</v>
      </c>
      <c r="B45" s="98">
        <v>1071</v>
      </c>
      <c r="C45" s="103" t="s">
        <v>253</v>
      </c>
      <c r="D45" s="103"/>
      <c r="E45" s="103" t="s">
        <v>253</v>
      </c>
      <c r="F45" s="103" t="s">
        <v>253</v>
      </c>
      <c r="G45" s="104"/>
      <c r="H45" s="250"/>
      <c r="I45" s="66"/>
    </row>
    <row r="46" spans="1:9" ht="20.25" customHeight="1">
      <c r="A46" s="102" t="s">
        <v>34</v>
      </c>
      <c r="B46" s="98">
        <v>1072</v>
      </c>
      <c r="C46" s="103" t="s">
        <v>253</v>
      </c>
      <c r="D46" s="103"/>
      <c r="E46" s="103" t="s">
        <v>253</v>
      </c>
      <c r="F46" s="103" t="s">
        <v>253</v>
      </c>
      <c r="G46" s="104"/>
      <c r="H46" s="250"/>
      <c r="I46" s="66"/>
    </row>
    <row r="47" spans="1:9" s="1" customFormat="1" ht="21" customHeight="1">
      <c r="A47" s="102" t="s">
        <v>128</v>
      </c>
      <c r="B47" s="98">
        <v>1073</v>
      </c>
      <c r="C47" s="103" t="s">
        <v>253</v>
      </c>
      <c r="D47" s="103"/>
      <c r="E47" s="103" t="s">
        <v>253</v>
      </c>
      <c r="F47" s="103" t="s">
        <v>253</v>
      </c>
      <c r="G47" s="104"/>
      <c r="H47" s="250"/>
      <c r="I47" s="66"/>
    </row>
    <row r="48" spans="1:9" s="1" customFormat="1" ht="29.25" customHeight="1">
      <c r="A48" s="102" t="s">
        <v>55</v>
      </c>
      <c r="B48" s="98">
        <v>1074</v>
      </c>
      <c r="C48" s="103" t="s">
        <v>253</v>
      </c>
      <c r="D48" s="103"/>
      <c r="E48" s="103" t="s">
        <v>253</v>
      </c>
      <c r="F48" s="103" t="s">
        <v>253</v>
      </c>
      <c r="G48" s="104"/>
      <c r="H48" s="250"/>
      <c r="I48" s="66"/>
    </row>
    <row r="49" spans="1:9" s="1" customFormat="1" ht="19.5" customHeight="1">
      <c r="A49" s="102" t="s">
        <v>68</v>
      </c>
      <c r="B49" s="98">
        <v>1075</v>
      </c>
      <c r="C49" s="103" t="s">
        <v>253</v>
      </c>
      <c r="D49" s="103"/>
      <c r="E49" s="103" t="s">
        <v>253</v>
      </c>
      <c r="F49" s="103" t="s">
        <v>253</v>
      </c>
      <c r="G49" s="104"/>
      <c r="H49" s="250"/>
      <c r="I49" s="66"/>
    </row>
    <row r="50" spans="1:9" s="1" customFormat="1" ht="17.25" customHeight="1">
      <c r="A50" s="102" t="s">
        <v>129</v>
      </c>
      <c r="B50" s="98">
        <v>1076</v>
      </c>
      <c r="C50" s="103" t="s">
        <v>253</v>
      </c>
      <c r="D50" s="103"/>
      <c r="E50" s="103" t="s">
        <v>253</v>
      </c>
      <c r="F50" s="103" t="s">
        <v>253</v>
      </c>
      <c r="G50" s="104"/>
      <c r="H50" s="250"/>
      <c r="I50" s="66"/>
    </row>
    <row r="51" spans="1:9" s="1" customFormat="1" ht="24.75" customHeight="1">
      <c r="A51" s="102" t="s">
        <v>380</v>
      </c>
      <c r="B51" s="98">
        <v>1077</v>
      </c>
      <c r="C51" s="82" t="s">
        <v>253</v>
      </c>
      <c r="D51" s="82"/>
      <c r="E51" s="82" t="s">
        <v>253</v>
      </c>
      <c r="F51" s="82" t="s">
        <v>253</v>
      </c>
      <c r="G51" s="85"/>
      <c r="H51" s="252"/>
      <c r="I51" s="66"/>
    </row>
    <row r="52" spans="1:9" s="1" customFormat="1" ht="34.5" customHeight="1">
      <c r="A52" s="206" t="s">
        <v>381</v>
      </c>
      <c r="B52" s="186">
        <v>1080</v>
      </c>
      <c r="C52" s="202">
        <f>SUM(C53:C57)</f>
        <v>-586</v>
      </c>
      <c r="D52" s="202">
        <f>SUM(D53:D57)</f>
        <v>-485</v>
      </c>
      <c r="E52" s="202">
        <f>SUM(E53:E57)</f>
        <v>0</v>
      </c>
      <c r="F52" s="202">
        <f>SUM(F53:F57)</f>
        <v>-3</v>
      </c>
      <c r="G52" s="202">
        <f>F52-E52</f>
        <v>-3</v>
      </c>
      <c r="H52" s="249" t="e">
        <f>F52/E52*100</f>
        <v>#DIV/0!</v>
      </c>
      <c r="I52" s="66"/>
    </row>
    <row r="53" spans="1:9" s="1" customFormat="1" ht="20.100000000000001" customHeight="1">
      <c r="A53" s="102" t="s">
        <v>63</v>
      </c>
      <c r="B53" s="98">
        <v>1081</v>
      </c>
      <c r="C53" s="103" t="s">
        <v>253</v>
      </c>
      <c r="D53" s="103"/>
      <c r="E53" s="103" t="s">
        <v>253</v>
      </c>
      <c r="F53" s="103" t="s">
        <v>253</v>
      </c>
      <c r="G53" s="104"/>
      <c r="H53" s="250"/>
      <c r="I53" s="66"/>
    </row>
    <row r="54" spans="1:9" s="1" customFormat="1" ht="20.100000000000001" customHeight="1">
      <c r="A54" s="102" t="s">
        <v>44</v>
      </c>
      <c r="B54" s="98">
        <v>1082</v>
      </c>
      <c r="C54" s="103">
        <v>-540</v>
      </c>
      <c r="D54" s="103">
        <v>-460</v>
      </c>
      <c r="E54" s="103" t="s">
        <v>253</v>
      </c>
      <c r="F54" s="103">
        <v>0</v>
      </c>
      <c r="G54" s="104"/>
      <c r="H54" s="250"/>
      <c r="I54" s="66"/>
    </row>
    <row r="55" spans="1:9" s="1" customFormat="1" ht="18.75" customHeight="1">
      <c r="A55" s="102" t="s">
        <v>53</v>
      </c>
      <c r="B55" s="98">
        <v>1083</v>
      </c>
      <c r="C55" s="103"/>
      <c r="D55" s="103"/>
      <c r="E55" s="103" t="s">
        <v>253</v>
      </c>
      <c r="F55" s="103" t="s">
        <v>253</v>
      </c>
      <c r="G55" s="104"/>
      <c r="H55" s="250"/>
      <c r="I55" s="66"/>
    </row>
    <row r="56" spans="1:9" s="1" customFormat="1" ht="20.100000000000001" customHeight="1">
      <c r="A56" s="102" t="s">
        <v>155</v>
      </c>
      <c r="B56" s="98">
        <v>1084</v>
      </c>
      <c r="C56" s="103"/>
      <c r="D56" s="103"/>
      <c r="E56" s="103" t="s">
        <v>253</v>
      </c>
      <c r="F56" s="103" t="s">
        <v>253</v>
      </c>
      <c r="G56" s="104"/>
      <c r="H56" s="250"/>
      <c r="I56" s="66"/>
    </row>
    <row r="57" spans="1:9" s="1" customFormat="1" ht="21.75" customHeight="1">
      <c r="A57" s="102" t="s">
        <v>382</v>
      </c>
      <c r="B57" s="98">
        <v>1085</v>
      </c>
      <c r="C57" s="103">
        <v>-46</v>
      </c>
      <c r="D57" s="103">
        <f>-1+-14+-7+-3</f>
        <v>-25</v>
      </c>
      <c r="E57" s="103"/>
      <c r="F57" s="103">
        <v>-3</v>
      </c>
      <c r="G57" s="104"/>
      <c r="H57" s="250"/>
      <c r="I57" s="66"/>
    </row>
    <row r="58" spans="1:9" s="4" customFormat="1" ht="38.25" customHeight="1">
      <c r="A58" s="193" t="s">
        <v>2</v>
      </c>
      <c r="B58" s="186">
        <v>1100</v>
      </c>
      <c r="C58" s="153">
        <f>C17+C19+C21+C44+C52</f>
        <v>823</v>
      </c>
      <c r="D58" s="153">
        <f>D17+D19+D21+D44+D52</f>
        <v>483</v>
      </c>
      <c r="E58" s="153">
        <f>E17+E19+E21+E44+E52</f>
        <v>3</v>
      </c>
      <c r="F58" s="153">
        <f>F17+F19+F21+F44+F52</f>
        <v>-699</v>
      </c>
      <c r="G58" s="153">
        <f t="shared" ref="G58:G73" si="2">F58-E58</f>
        <v>-702</v>
      </c>
      <c r="H58" s="249">
        <f>F58/E58*100</f>
        <v>-23300</v>
      </c>
      <c r="I58" s="67"/>
    </row>
    <row r="59" spans="1:9" ht="33.75" customHeight="1">
      <c r="A59" s="9" t="s">
        <v>384</v>
      </c>
      <c r="B59" s="98">
        <v>1110</v>
      </c>
      <c r="C59" s="82"/>
      <c r="D59" s="82"/>
      <c r="E59" s="82"/>
      <c r="F59" s="82"/>
      <c r="G59" s="85">
        <f t="shared" si="2"/>
        <v>0</v>
      </c>
      <c r="H59" s="252"/>
      <c r="I59" s="66"/>
    </row>
    <row r="60" spans="1:9" ht="24" customHeight="1">
      <c r="A60" s="9" t="s">
        <v>383</v>
      </c>
      <c r="B60" s="98">
        <v>1120</v>
      </c>
      <c r="C60" s="82"/>
      <c r="D60" s="82"/>
      <c r="E60" s="82"/>
      <c r="F60" s="82"/>
      <c r="G60" s="85">
        <f t="shared" si="2"/>
        <v>0</v>
      </c>
      <c r="H60" s="252"/>
      <c r="I60" s="66"/>
    </row>
    <row r="61" spans="1:9" ht="36" customHeight="1">
      <c r="A61" s="9" t="s">
        <v>387</v>
      </c>
      <c r="B61" s="98">
        <v>1130</v>
      </c>
      <c r="C61" s="82" t="s">
        <v>253</v>
      </c>
      <c r="D61" s="82"/>
      <c r="E61" s="82" t="s">
        <v>253</v>
      </c>
      <c r="F61" s="82" t="s">
        <v>253</v>
      </c>
      <c r="G61" s="85"/>
      <c r="H61" s="252"/>
      <c r="I61" s="66"/>
    </row>
    <row r="62" spans="1:9" ht="24.75" customHeight="1">
      <c r="A62" s="9" t="s">
        <v>389</v>
      </c>
      <c r="B62" s="98">
        <v>1140</v>
      </c>
      <c r="C62" s="82" t="s">
        <v>253</v>
      </c>
      <c r="D62" s="82"/>
      <c r="E62" s="82" t="s">
        <v>253</v>
      </c>
      <c r="F62" s="82" t="s">
        <v>253</v>
      </c>
      <c r="G62" s="85"/>
      <c r="H62" s="252"/>
      <c r="I62" s="66"/>
    </row>
    <row r="63" spans="1:9" ht="26.25" customHeight="1">
      <c r="A63" s="9" t="s">
        <v>388</v>
      </c>
      <c r="B63" s="98">
        <v>1150</v>
      </c>
      <c r="C63" s="82"/>
      <c r="D63" s="82"/>
      <c r="E63" s="82"/>
      <c r="F63" s="82"/>
      <c r="G63" s="85">
        <f t="shared" si="2"/>
        <v>0</v>
      </c>
      <c r="H63" s="252"/>
      <c r="I63" s="66"/>
    </row>
    <row r="64" spans="1:9" ht="18.75" customHeight="1">
      <c r="A64" s="102" t="s">
        <v>155</v>
      </c>
      <c r="B64" s="98">
        <v>1151</v>
      </c>
      <c r="C64" s="103"/>
      <c r="D64" s="103"/>
      <c r="E64" s="103"/>
      <c r="F64" s="103"/>
      <c r="G64" s="104">
        <f t="shared" si="2"/>
        <v>0</v>
      </c>
      <c r="H64" s="250"/>
      <c r="I64" s="66"/>
    </row>
    <row r="65" spans="1:9" ht="28.5" customHeight="1">
      <c r="A65" s="9" t="s">
        <v>390</v>
      </c>
      <c r="B65" s="98">
        <v>1160</v>
      </c>
      <c r="C65" s="82" t="s">
        <v>253</v>
      </c>
      <c r="D65" s="82"/>
      <c r="E65" s="82" t="s">
        <v>253</v>
      </c>
      <c r="F65" s="82" t="s">
        <v>253</v>
      </c>
      <c r="G65" s="85"/>
      <c r="H65" s="252"/>
      <c r="I65" s="66"/>
    </row>
    <row r="66" spans="1:9" ht="18.75" customHeight="1">
      <c r="A66" s="102" t="s">
        <v>155</v>
      </c>
      <c r="B66" s="98">
        <v>1161</v>
      </c>
      <c r="C66" s="103" t="s">
        <v>253</v>
      </c>
      <c r="D66" s="103"/>
      <c r="E66" s="103" t="s">
        <v>253</v>
      </c>
      <c r="F66" s="103" t="s">
        <v>253</v>
      </c>
      <c r="G66" s="104"/>
      <c r="H66" s="250"/>
      <c r="I66" s="66"/>
    </row>
    <row r="67" spans="1:9" s="4" customFormat="1" ht="39" customHeight="1">
      <c r="A67" s="193" t="s">
        <v>79</v>
      </c>
      <c r="B67" s="186">
        <v>1170</v>
      </c>
      <c r="C67" s="153">
        <f>SUM(C58,C59,C60,C61,C62,C63,C65)</f>
        <v>823</v>
      </c>
      <c r="D67" s="153">
        <f>SUM(D58,D59,D60,D61,D62,D63,D65)</f>
        <v>483</v>
      </c>
      <c r="E67" s="334">
        <f>SUM(E58,E59,E60,E61,E62,E63,E65)</f>
        <v>3</v>
      </c>
      <c r="F67" s="153">
        <f>SUM(F58,F59,F60,F61,F62,F63,F65)</f>
        <v>-699</v>
      </c>
      <c r="G67" s="153">
        <f t="shared" si="2"/>
        <v>-702</v>
      </c>
      <c r="H67" s="249">
        <f>F67/E67*100</f>
        <v>-23300</v>
      </c>
      <c r="I67" s="67"/>
    </row>
    <row r="68" spans="1:9" ht="33.75" customHeight="1">
      <c r="A68" s="7" t="s">
        <v>101</v>
      </c>
      <c r="B68" s="98">
        <v>1180</v>
      </c>
      <c r="C68" s="82">
        <v>-286</v>
      </c>
      <c r="D68" s="82">
        <f>-34+-253+-22+107</f>
        <v>-202</v>
      </c>
      <c r="E68" s="309">
        <v>-0.5</v>
      </c>
      <c r="F68" s="82">
        <v>107</v>
      </c>
      <c r="G68" s="85">
        <f t="shared" si="2"/>
        <v>107.5</v>
      </c>
      <c r="H68" s="252"/>
      <c r="I68" s="66"/>
    </row>
    <row r="69" spans="1:9" ht="38.25" customHeight="1">
      <c r="A69" s="7" t="s">
        <v>102</v>
      </c>
      <c r="B69" s="98">
        <v>1190</v>
      </c>
      <c r="C69" s="82"/>
      <c r="D69" s="82"/>
      <c r="E69" s="82"/>
      <c r="F69" s="82"/>
      <c r="G69" s="85">
        <f t="shared" si="2"/>
        <v>0</v>
      </c>
      <c r="H69" s="252"/>
      <c r="I69" s="66"/>
    </row>
    <row r="70" spans="1:9" s="4" customFormat="1" ht="40.5" customHeight="1">
      <c r="A70" s="193" t="s">
        <v>385</v>
      </c>
      <c r="B70" s="186">
        <v>1200</v>
      </c>
      <c r="C70" s="153">
        <f>SUM(C67,C68,C69)</f>
        <v>537</v>
      </c>
      <c r="D70" s="153">
        <f>SUM(D67,D68,D69)</f>
        <v>281</v>
      </c>
      <c r="E70" s="334">
        <f>SUM(E67,E68,E69)</f>
        <v>2.5</v>
      </c>
      <c r="F70" s="153">
        <f>SUM(F67,F68,F69)</f>
        <v>-592</v>
      </c>
      <c r="G70" s="153">
        <f t="shared" si="2"/>
        <v>-594.5</v>
      </c>
      <c r="H70" s="249">
        <f>F70/E70*100</f>
        <v>-23680</v>
      </c>
      <c r="I70" s="67"/>
    </row>
    <row r="71" spans="1:9" ht="24.75" customHeight="1">
      <c r="A71" s="7" t="s">
        <v>19</v>
      </c>
      <c r="B71" s="91">
        <v>1201</v>
      </c>
      <c r="C71" s="82">
        <v>537</v>
      </c>
      <c r="D71" s="82">
        <v>281</v>
      </c>
      <c r="E71" s="309">
        <v>2.5</v>
      </c>
      <c r="F71" s="82"/>
      <c r="G71" s="85">
        <f t="shared" si="2"/>
        <v>-2.5</v>
      </c>
      <c r="H71" s="252"/>
      <c r="I71" s="65"/>
    </row>
    <row r="72" spans="1:9" ht="21" customHeight="1">
      <c r="A72" s="7" t="s">
        <v>20</v>
      </c>
      <c r="B72" s="91">
        <v>1202</v>
      </c>
      <c r="C72" s="82" t="s">
        <v>493</v>
      </c>
      <c r="D72" s="82"/>
      <c r="E72" s="82" t="s">
        <v>253</v>
      </c>
      <c r="F72" s="82">
        <v>-592</v>
      </c>
      <c r="G72" s="85"/>
      <c r="H72" s="252"/>
      <c r="I72" s="65"/>
    </row>
    <row r="73" spans="1:9" ht="19.5" customHeight="1">
      <c r="A73" s="102" t="s">
        <v>183</v>
      </c>
      <c r="B73" s="98">
        <v>1210</v>
      </c>
      <c r="C73" s="103"/>
      <c r="D73" s="103"/>
      <c r="E73" s="103"/>
      <c r="F73" s="103"/>
      <c r="G73" s="104">
        <f t="shared" si="2"/>
        <v>0</v>
      </c>
      <c r="H73" s="250"/>
      <c r="I73" s="66"/>
    </row>
    <row r="74" spans="1:9" s="4" customFormat="1" ht="27.75" customHeight="1">
      <c r="A74" s="530" t="s">
        <v>197</v>
      </c>
      <c r="B74" s="530"/>
      <c r="C74" s="530"/>
      <c r="D74" s="530"/>
      <c r="E74" s="530"/>
      <c r="F74" s="530"/>
      <c r="G74" s="530"/>
      <c r="H74" s="530"/>
      <c r="I74" s="530"/>
    </row>
    <row r="75" spans="1:9" ht="36" customHeight="1">
      <c r="A75" s="59" t="s">
        <v>260</v>
      </c>
      <c r="B75" s="91">
        <v>1300</v>
      </c>
      <c r="C75" s="85">
        <f>C19+C52</f>
        <v>-430</v>
      </c>
      <c r="D75" s="85">
        <f>D19+D52</f>
        <v>79</v>
      </c>
      <c r="E75" s="85">
        <f>SUM(E19,E52)</f>
        <v>0</v>
      </c>
      <c r="F75" s="85">
        <f>F19+F52</f>
        <v>121</v>
      </c>
      <c r="G75" s="85">
        <f>F75-E75</f>
        <v>121</v>
      </c>
      <c r="H75" s="249" t="e">
        <f>F75/E75*100</f>
        <v>#DIV/0!</v>
      </c>
      <c r="I75" s="65"/>
    </row>
    <row r="76" spans="1:9" ht="54.75" customHeight="1">
      <c r="A76" s="62" t="s">
        <v>258</v>
      </c>
      <c r="B76" s="91">
        <v>1310</v>
      </c>
      <c r="C76" s="85">
        <f>SUM(C59,C60,C61,C62)</f>
        <v>0</v>
      </c>
      <c r="D76" s="85"/>
      <c r="E76" s="85">
        <f>SUM(E59,E60,E61,E62)</f>
        <v>0</v>
      </c>
      <c r="F76" s="85">
        <f>SUM(F59,F60,F61,F62)</f>
        <v>0</v>
      </c>
      <c r="G76" s="85">
        <f>F76-E76</f>
        <v>0</v>
      </c>
      <c r="H76" s="249" t="e">
        <f t="shared" ref="H76:H88" si="3">F76/E76*100</f>
        <v>#DIV/0!</v>
      </c>
      <c r="I76" s="65"/>
    </row>
    <row r="77" spans="1:9" ht="35.25" customHeight="1">
      <c r="A77" s="59" t="s">
        <v>259</v>
      </c>
      <c r="B77" s="91">
        <v>1320</v>
      </c>
      <c r="C77" s="85">
        <f>SUM(C63,C65)</f>
        <v>0</v>
      </c>
      <c r="D77" s="85"/>
      <c r="E77" s="85">
        <f>SUM(E63,E65)</f>
        <v>0</v>
      </c>
      <c r="F77" s="85">
        <f>SUM(F63,F65)</f>
        <v>0</v>
      </c>
      <c r="G77" s="85">
        <f>F77-E77</f>
        <v>0</v>
      </c>
      <c r="H77" s="249" t="e">
        <f t="shared" si="3"/>
        <v>#DIV/0!</v>
      </c>
      <c r="I77" s="65"/>
    </row>
    <row r="78" spans="1:9" ht="30" customHeight="1">
      <c r="A78" s="190" t="s">
        <v>13</v>
      </c>
      <c r="B78" s="191">
        <v>1330</v>
      </c>
      <c r="C78" s="202">
        <f>C7+C19+C59+C60+C63</f>
        <v>48410</v>
      </c>
      <c r="D78" s="202">
        <f>D7+D19+D59+D60+D63</f>
        <v>50257</v>
      </c>
      <c r="E78" s="202">
        <f>E7+E19+E59+E60+E63</f>
        <v>11455</v>
      </c>
      <c r="F78" s="202">
        <f>F7+F19+F59+F60+F63</f>
        <v>12632</v>
      </c>
      <c r="G78" s="202">
        <f>F78-E78</f>
        <v>1177</v>
      </c>
      <c r="H78" s="249">
        <f t="shared" si="3"/>
        <v>110.27498908773461</v>
      </c>
      <c r="I78" s="66"/>
    </row>
    <row r="79" spans="1:9" ht="30" customHeight="1">
      <c r="A79" s="190" t="s">
        <v>88</v>
      </c>
      <c r="B79" s="191">
        <v>1340</v>
      </c>
      <c r="C79" s="202">
        <f>C8+C21+C68+C52</f>
        <v>-47873</v>
      </c>
      <c r="D79" s="202">
        <f>D8+D21+D68+D52</f>
        <v>-49976</v>
      </c>
      <c r="E79" s="314">
        <f>E8+E21+E68+E52</f>
        <v>-11452.5</v>
      </c>
      <c r="F79" s="202">
        <f>F8+F21+F68+F52</f>
        <v>-13224</v>
      </c>
      <c r="G79" s="202">
        <f>F79-E79</f>
        <v>-1771.5</v>
      </c>
      <c r="H79" s="249">
        <f t="shared" si="3"/>
        <v>115.46823837590046</v>
      </c>
      <c r="I79" s="66"/>
    </row>
    <row r="80" spans="1:9" ht="50.25" customHeight="1">
      <c r="A80" s="527" t="s">
        <v>164</v>
      </c>
      <c r="B80" s="528"/>
      <c r="C80" s="528"/>
      <c r="D80" s="528"/>
      <c r="E80" s="528"/>
      <c r="F80" s="528"/>
      <c r="G80" s="528"/>
      <c r="H80" s="528"/>
      <c r="I80" s="529"/>
    </row>
    <row r="81" spans="1:9" ht="36.75" customHeight="1">
      <c r="A81" s="7" t="s">
        <v>198</v>
      </c>
      <c r="B81" s="98">
        <v>1500</v>
      </c>
      <c r="C81" s="82">
        <v>17905</v>
      </c>
      <c r="D81" s="82">
        <f>3801+3951+5052+3398</f>
        <v>16202</v>
      </c>
      <c r="E81" s="82">
        <v>3765</v>
      </c>
      <c r="F81" s="82">
        <v>3398</v>
      </c>
      <c r="G81" s="85">
        <f t="shared" ref="G81:G88" si="4">F81-E81</f>
        <v>-367</v>
      </c>
      <c r="H81" s="249">
        <f t="shared" si="3"/>
        <v>90.252324037184593</v>
      </c>
      <c r="I81" s="66"/>
    </row>
    <row r="82" spans="1:9" ht="20.25" customHeight="1">
      <c r="A82" s="102" t="s">
        <v>199</v>
      </c>
      <c r="B82" s="99">
        <v>1501</v>
      </c>
      <c r="C82" s="103">
        <v>14051</v>
      </c>
      <c r="D82" s="103">
        <f>D81-D83</f>
        <v>12901</v>
      </c>
      <c r="E82" s="103">
        <v>2888</v>
      </c>
      <c r="F82" s="103">
        <f>F81-F83</f>
        <v>2515</v>
      </c>
      <c r="G82" s="104">
        <f t="shared" si="4"/>
        <v>-373</v>
      </c>
      <c r="H82" s="249">
        <f t="shared" si="3"/>
        <v>87.084487534626049</v>
      </c>
      <c r="I82" s="199"/>
    </row>
    <row r="83" spans="1:9" ht="19.5" customHeight="1">
      <c r="A83" s="102" t="s">
        <v>23</v>
      </c>
      <c r="B83" s="99">
        <v>1502</v>
      </c>
      <c r="C83" s="103">
        <v>3854</v>
      </c>
      <c r="D83" s="103">
        <f>923+778+717+883</f>
        <v>3301</v>
      </c>
      <c r="E83" s="103">
        <v>877</v>
      </c>
      <c r="F83" s="103">
        <f>741+123+8+11</f>
        <v>883</v>
      </c>
      <c r="G83" s="104">
        <f t="shared" si="4"/>
        <v>6</v>
      </c>
      <c r="H83" s="249">
        <f t="shared" si="3"/>
        <v>100.68415051311288</v>
      </c>
      <c r="I83" s="199"/>
    </row>
    <row r="84" spans="1:9" ht="24.75" customHeight="1">
      <c r="A84" s="7" t="s">
        <v>3</v>
      </c>
      <c r="B84" s="100">
        <v>1510</v>
      </c>
      <c r="C84" s="82">
        <v>23152</v>
      </c>
      <c r="D84" s="82">
        <f>6105+6205+6385+7464</f>
        <v>26159</v>
      </c>
      <c r="E84" s="82">
        <v>6100</v>
      </c>
      <c r="F84" s="82">
        <v>7464</v>
      </c>
      <c r="G84" s="85">
        <f t="shared" si="4"/>
        <v>1364</v>
      </c>
      <c r="H84" s="249">
        <f t="shared" si="3"/>
        <v>122.36065573770492</v>
      </c>
      <c r="I84" s="66"/>
    </row>
    <row r="85" spans="1:9" ht="24" customHeight="1">
      <c r="A85" s="7" t="s">
        <v>4</v>
      </c>
      <c r="B85" s="100">
        <v>1520</v>
      </c>
      <c r="C85" s="82">
        <v>5115</v>
      </c>
      <c r="D85" s="82">
        <f>1325+1332+1371+1613</f>
        <v>5641</v>
      </c>
      <c r="E85" s="82">
        <v>1334</v>
      </c>
      <c r="F85" s="82">
        <v>1613</v>
      </c>
      <c r="G85" s="85">
        <f t="shared" si="4"/>
        <v>279</v>
      </c>
      <c r="H85" s="249">
        <f t="shared" si="3"/>
        <v>120.91454272863569</v>
      </c>
      <c r="I85" s="66"/>
    </row>
    <row r="86" spans="1:9" ht="18.75" customHeight="1">
      <c r="A86" s="7" t="s">
        <v>5</v>
      </c>
      <c r="B86" s="100">
        <v>1530</v>
      </c>
      <c r="C86" s="82">
        <v>418</v>
      </c>
      <c r="D86" s="82">
        <f>96+92+92+92</f>
        <v>372</v>
      </c>
      <c r="E86" s="82">
        <v>103</v>
      </c>
      <c r="F86" s="82">
        <v>92</v>
      </c>
      <c r="G86" s="85">
        <f t="shared" si="4"/>
        <v>-11</v>
      </c>
      <c r="H86" s="249">
        <f t="shared" si="3"/>
        <v>89.320388349514573</v>
      </c>
      <c r="I86" s="66"/>
    </row>
    <row r="87" spans="1:9" ht="24" customHeight="1">
      <c r="A87" s="7" t="s">
        <v>24</v>
      </c>
      <c r="B87" s="100">
        <v>1540</v>
      </c>
      <c r="C87" s="82">
        <v>997</v>
      </c>
      <c r="D87" s="82">
        <f>367+587+-318+764</f>
        <v>1400</v>
      </c>
      <c r="E87" s="82">
        <v>150</v>
      </c>
      <c r="F87" s="82">
        <f>F88-F81-F84-F85-F86</f>
        <v>764</v>
      </c>
      <c r="G87" s="85">
        <f t="shared" si="4"/>
        <v>614</v>
      </c>
      <c r="H87" s="249">
        <f t="shared" si="3"/>
        <v>509.33333333333337</v>
      </c>
      <c r="I87" s="66"/>
    </row>
    <row r="88" spans="1:9" s="4" customFormat="1" ht="23.25" customHeight="1">
      <c r="A88" s="9" t="s">
        <v>49</v>
      </c>
      <c r="B88" s="101">
        <v>1550</v>
      </c>
      <c r="C88" s="202">
        <f>SUM(C81,C84:C87)</f>
        <v>47587</v>
      </c>
      <c r="D88" s="202">
        <f>SUM(D81,D84:D87)</f>
        <v>49774</v>
      </c>
      <c r="E88" s="202">
        <f>SUM(E81,E84:E87)</f>
        <v>11452</v>
      </c>
      <c r="F88" s="202">
        <v>13331</v>
      </c>
      <c r="G88" s="202">
        <f t="shared" si="4"/>
        <v>1879</v>
      </c>
      <c r="H88" s="249">
        <f t="shared" si="3"/>
        <v>116.40761439049948</v>
      </c>
      <c r="I88" s="67"/>
    </row>
    <row r="89" spans="1:9" ht="6.75" customHeight="1">
      <c r="A89" s="23"/>
    </row>
    <row r="90" spans="1:9" ht="29.25" customHeight="1">
      <c r="A90" s="93" t="s">
        <v>963</v>
      </c>
      <c r="B90" s="492" t="s">
        <v>290</v>
      </c>
      <c r="C90" s="492"/>
      <c r="D90" s="372"/>
      <c r="E90" s="95"/>
      <c r="F90" s="499" t="s">
        <v>959</v>
      </c>
      <c r="G90" s="499"/>
      <c r="H90" s="499"/>
      <c r="I90" s="2"/>
    </row>
    <row r="91" spans="1:9" s="1" customFormat="1" ht="21.75" customHeight="1">
      <c r="A91" s="111" t="s">
        <v>233</v>
      </c>
      <c r="B91" s="500" t="s">
        <v>232</v>
      </c>
      <c r="C91" s="500"/>
      <c r="D91" s="373"/>
      <c r="E91" s="112"/>
      <c r="F91" s="491" t="s">
        <v>84</v>
      </c>
      <c r="G91" s="491"/>
      <c r="H91" s="491"/>
    </row>
    <row r="92" spans="1:9">
      <c r="A92" s="374" t="s">
        <v>549</v>
      </c>
      <c r="B92" s="375"/>
      <c r="C92" s="375"/>
      <c r="D92" s="375"/>
      <c r="E92" s="375"/>
      <c r="F92" s="375"/>
      <c r="G92" s="375"/>
      <c r="H92" s="254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J184"/>
  <sheetViews>
    <sheetView topLeftCell="A25" zoomScaleSheetLayoutView="100" workbookViewId="0">
      <selection activeCell="F29" sqref="F29:F30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256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531" t="s">
        <v>114</v>
      </c>
      <c r="B1" s="531"/>
      <c r="C1" s="531"/>
      <c r="D1" s="531"/>
      <c r="E1" s="531"/>
      <c r="F1" s="531"/>
      <c r="G1" s="531"/>
      <c r="H1" s="531"/>
    </row>
    <row r="2" spans="1:8" ht="50.25" customHeight="1">
      <c r="A2" s="509" t="s">
        <v>200</v>
      </c>
      <c r="B2" s="532" t="s">
        <v>12</v>
      </c>
      <c r="C2" s="510" t="s">
        <v>475</v>
      </c>
      <c r="D2" s="510"/>
      <c r="E2" s="533" t="s">
        <v>478</v>
      </c>
      <c r="F2" s="534"/>
      <c r="G2" s="534"/>
      <c r="H2" s="535"/>
    </row>
    <row r="3" spans="1:8" ht="69.75" customHeight="1">
      <c r="A3" s="509"/>
      <c r="B3" s="532"/>
      <c r="C3" s="356" t="s">
        <v>476</v>
      </c>
      <c r="D3" s="6" t="s">
        <v>477</v>
      </c>
      <c r="E3" s="47" t="s">
        <v>184</v>
      </c>
      <c r="F3" s="47" t="s">
        <v>174</v>
      </c>
      <c r="G3" s="47" t="s">
        <v>195</v>
      </c>
      <c r="H3" s="247" t="s">
        <v>196</v>
      </c>
    </row>
    <row r="4" spans="1:8" ht="11.25" customHeight="1">
      <c r="A4" s="109">
        <v>1</v>
      </c>
      <c r="B4" s="108">
        <v>2</v>
      </c>
      <c r="C4" s="109">
        <v>3</v>
      </c>
      <c r="D4" s="109">
        <v>4</v>
      </c>
      <c r="E4" s="109">
        <v>5</v>
      </c>
      <c r="F4" s="108">
        <v>6</v>
      </c>
      <c r="G4" s="109">
        <v>7</v>
      </c>
      <c r="H4" s="257">
        <v>8</v>
      </c>
    </row>
    <row r="5" spans="1:8" ht="28.5" customHeight="1">
      <c r="A5" s="537" t="s">
        <v>110</v>
      </c>
      <c r="B5" s="537"/>
      <c r="C5" s="537"/>
      <c r="D5" s="537"/>
      <c r="E5" s="537"/>
      <c r="F5" s="537"/>
      <c r="G5" s="537"/>
      <c r="H5" s="537"/>
    </row>
    <row r="6" spans="1:8" ht="56.25" customHeight="1">
      <c r="A6" s="36" t="s">
        <v>51</v>
      </c>
      <c r="B6" s="91">
        <v>2000</v>
      </c>
      <c r="C6" s="82">
        <v>-403</v>
      </c>
      <c r="D6" s="82">
        <v>53</v>
      </c>
      <c r="E6" s="82">
        <v>-126</v>
      </c>
      <c r="F6" s="320">
        <v>795</v>
      </c>
      <c r="G6" s="85">
        <f>F6-E6</f>
        <v>921</v>
      </c>
      <c r="H6" s="252">
        <f>F6/E6*100</f>
        <v>-630.95238095238096</v>
      </c>
    </row>
    <row r="7" spans="1:8" ht="28.5" customHeight="1">
      <c r="A7" s="36" t="s">
        <v>270</v>
      </c>
      <c r="B7" s="91">
        <v>2010</v>
      </c>
      <c r="C7" s="82">
        <v>-81</v>
      </c>
      <c r="D7" s="82">
        <f>-42</f>
        <v>-42</v>
      </c>
      <c r="E7" s="309">
        <v>-0.4</v>
      </c>
      <c r="F7" s="82">
        <f>96-7</f>
        <v>89</v>
      </c>
      <c r="G7" s="85"/>
      <c r="H7" s="252">
        <f t="shared" ref="H7:H30" si="0">F7/E7*100</f>
        <v>-22250</v>
      </c>
    </row>
    <row r="8" spans="1:8" ht="24" customHeight="1">
      <c r="A8" s="7" t="s">
        <v>134</v>
      </c>
      <c r="B8" s="91">
        <v>2020</v>
      </c>
      <c r="C8" s="82"/>
      <c r="D8" s="82"/>
      <c r="E8" s="82"/>
      <c r="F8" s="82"/>
      <c r="G8" s="85">
        <f>F8-E8</f>
        <v>0</v>
      </c>
      <c r="H8" s="252" t="e">
        <f t="shared" si="0"/>
        <v>#DIV/0!</v>
      </c>
    </row>
    <row r="9" spans="1:8" s="37" customFormat="1" ht="22.5" customHeight="1">
      <c r="A9" s="36" t="s">
        <v>62</v>
      </c>
      <c r="B9" s="91">
        <v>2030</v>
      </c>
      <c r="C9" s="82" t="s">
        <v>253</v>
      </c>
      <c r="D9" s="82"/>
      <c r="E9" s="82" t="s">
        <v>253</v>
      </c>
      <c r="F9" s="82" t="s">
        <v>253</v>
      </c>
      <c r="G9" s="85"/>
      <c r="H9" s="252" t="e">
        <f t="shared" si="0"/>
        <v>#VALUE!</v>
      </c>
    </row>
    <row r="10" spans="1:8" ht="18" customHeight="1">
      <c r="A10" s="169" t="s">
        <v>96</v>
      </c>
      <c r="B10" s="207">
        <v>2031</v>
      </c>
      <c r="C10" s="170" t="s">
        <v>253</v>
      </c>
      <c r="D10" s="170" t="s">
        <v>253</v>
      </c>
      <c r="E10" s="170" t="s">
        <v>253</v>
      </c>
      <c r="F10" s="170" t="s">
        <v>253</v>
      </c>
      <c r="G10" s="171"/>
      <c r="H10" s="252" t="e">
        <f t="shared" si="0"/>
        <v>#VALUE!</v>
      </c>
    </row>
    <row r="11" spans="1:8" ht="23.25" customHeight="1">
      <c r="A11" s="36" t="s">
        <v>21</v>
      </c>
      <c r="B11" s="91">
        <v>2040</v>
      </c>
      <c r="C11" s="82" t="s">
        <v>253</v>
      </c>
      <c r="D11" s="82" t="s">
        <v>253</v>
      </c>
      <c r="E11" s="82" t="s">
        <v>253</v>
      </c>
      <c r="F11" s="82" t="s">
        <v>253</v>
      </c>
      <c r="G11" s="85"/>
      <c r="H11" s="252" t="e">
        <f t="shared" si="0"/>
        <v>#VALUE!</v>
      </c>
    </row>
    <row r="12" spans="1:8" ht="23.25" customHeight="1">
      <c r="A12" s="36" t="s">
        <v>392</v>
      </c>
      <c r="B12" s="91">
        <v>2050</v>
      </c>
      <c r="C12" s="82" t="s">
        <v>253</v>
      </c>
      <c r="D12" s="82" t="s">
        <v>253</v>
      </c>
      <c r="E12" s="82" t="s">
        <v>253</v>
      </c>
      <c r="F12" s="82" t="s">
        <v>253</v>
      </c>
      <c r="G12" s="85"/>
      <c r="H12" s="252" t="e">
        <f t="shared" si="0"/>
        <v>#VALUE!</v>
      </c>
    </row>
    <row r="13" spans="1:8" ht="22.5" customHeight="1">
      <c r="A13" s="36" t="s">
        <v>393</v>
      </c>
      <c r="B13" s="91">
        <v>2060</v>
      </c>
      <c r="C13" s="82" t="s">
        <v>253</v>
      </c>
      <c r="D13" s="82" t="s">
        <v>253</v>
      </c>
      <c r="E13" s="82" t="s">
        <v>253</v>
      </c>
      <c r="F13" s="82" t="s">
        <v>253</v>
      </c>
      <c r="G13" s="85"/>
      <c r="H13" s="252" t="e">
        <f t="shared" si="0"/>
        <v>#VALUE!</v>
      </c>
    </row>
    <row r="14" spans="1:8" ht="43.5" customHeight="1">
      <c r="A14" s="194" t="s">
        <v>52</v>
      </c>
      <c r="B14" s="195">
        <v>2070</v>
      </c>
      <c r="C14" s="85">
        <f>SUM(C6,C7,C8,C9,C11,C12,C13)+'1. Фін результат'!C70</f>
        <v>53</v>
      </c>
      <c r="D14" s="85">
        <f>SUM(D6,D7,D8,D9,D11,D12,D13)+'1. Фін результат'!D70</f>
        <v>292</v>
      </c>
      <c r="E14" s="82">
        <f>SUM(E6,E7,E8,E9,E11,E12,E13)+'1. Фін результат'!E70</f>
        <v>-123.9</v>
      </c>
      <c r="F14" s="85">
        <f>SUM(F6,F7,F8,F9,F11,F12,F13)+'1. Фін результат'!F70</f>
        <v>292</v>
      </c>
      <c r="G14" s="85">
        <f>F14-E14</f>
        <v>415.9</v>
      </c>
      <c r="H14" s="252">
        <f t="shared" si="0"/>
        <v>-235.67393058918481</v>
      </c>
    </row>
    <row r="15" spans="1:8" ht="45.75" customHeight="1">
      <c r="A15" s="537" t="s">
        <v>111</v>
      </c>
      <c r="B15" s="537"/>
      <c r="C15" s="537"/>
      <c r="D15" s="537"/>
      <c r="E15" s="537"/>
      <c r="F15" s="537"/>
      <c r="G15" s="537"/>
      <c r="H15" s="537"/>
    </row>
    <row r="16" spans="1:8" ht="30.75" customHeight="1">
      <c r="A16" s="36" t="s">
        <v>270</v>
      </c>
      <c r="B16" s="91">
        <v>2100</v>
      </c>
      <c r="C16" s="82">
        <v>114</v>
      </c>
      <c r="D16" s="82">
        <f>22+102+7+-89</f>
        <v>42</v>
      </c>
      <c r="E16" s="309">
        <v>6</v>
      </c>
      <c r="F16" s="82">
        <v>-89</v>
      </c>
      <c r="G16" s="85">
        <f>F16-E16</f>
        <v>-95</v>
      </c>
      <c r="H16" s="252">
        <f t="shared" si="0"/>
        <v>-1483.3333333333335</v>
      </c>
    </row>
    <row r="17" spans="1:9" s="37" customFormat="1" ht="27" customHeight="1">
      <c r="A17" s="36" t="s">
        <v>113</v>
      </c>
      <c r="B17" s="109">
        <v>2110</v>
      </c>
      <c r="C17" s="82">
        <v>286</v>
      </c>
      <c r="D17" s="320">
        <f>34+253+22+-107</f>
        <v>202</v>
      </c>
      <c r="E17" s="327">
        <v>0.5</v>
      </c>
      <c r="F17" s="320">
        <v>-107</v>
      </c>
      <c r="G17" s="85">
        <f>F17-E17</f>
        <v>-107.5</v>
      </c>
      <c r="H17" s="252">
        <f t="shared" si="0"/>
        <v>-21400</v>
      </c>
    </row>
    <row r="18" spans="1:9" ht="57" customHeight="1">
      <c r="A18" s="36" t="s">
        <v>244</v>
      </c>
      <c r="B18" s="109">
        <v>2120</v>
      </c>
      <c r="C18" s="82">
        <v>6662</v>
      </c>
      <c r="D18" s="82">
        <f>1503+1790+2546+1894</f>
        <v>7733</v>
      </c>
      <c r="E18" s="82">
        <v>1400</v>
      </c>
      <c r="F18" s="82">
        <v>1894</v>
      </c>
      <c r="G18" s="85">
        <f>F18-E18</f>
        <v>494</v>
      </c>
      <c r="H18" s="252">
        <f t="shared" si="0"/>
        <v>135.28571428571428</v>
      </c>
    </row>
    <row r="19" spans="1:9" ht="60" customHeight="1">
      <c r="A19" s="36" t="s">
        <v>245</v>
      </c>
      <c r="B19" s="109">
        <v>2130</v>
      </c>
      <c r="C19" s="82" t="s">
        <v>486</v>
      </c>
      <c r="D19" s="82" t="s">
        <v>253</v>
      </c>
      <c r="E19" s="82" t="s">
        <v>253</v>
      </c>
      <c r="F19" s="82" t="s">
        <v>253</v>
      </c>
      <c r="G19" s="85"/>
      <c r="H19" s="252" t="e">
        <f t="shared" si="0"/>
        <v>#VALUE!</v>
      </c>
    </row>
    <row r="20" spans="1:9" s="39" customFormat="1" ht="60" customHeight="1">
      <c r="A20" s="48" t="s">
        <v>178</v>
      </c>
      <c r="B20" s="110">
        <v>2140</v>
      </c>
      <c r="C20" s="85">
        <f>SUM(C21:C25,C28,C29)</f>
        <v>4915</v>
      </c>
      <c r="D20" s="85">
        <f>SUM(D21:D25,D28,D29)</f>
        <v>5142</v>
      </c>
      <c r="E20" s="85">
        <f>SUM(E21:E25)+SUM(E27:E29)</f>
        <v>1206</v>
      </c>
      <c r="F20" s="85">
        <f>SUM(F21:F25)+SUM(F27:F29)</f>
        <v>1380</v>
      </c>
      <c r="G20" s="85">
        <f t="shared" ref="G20:G31" si="1">F20-E20</f>
        <v>174</v>
      </c>
      <c r="H20" s="252">
        <f t="shared" si="0"/>
        <v>114.4278606965174</v>
      </c>
      <c r="I20" s="35"/>
    </row>
    <row r="21" spans="1:9" ht="27" customHeight="1">
      <c r="A21" s="36" t="s">
        <v>72</v>
      </c>
      <c r="B21" s="109">
        <v>2141</v>
      </c>
      <c r="C21" s="82"/>
      <c r="D21" s="82"/>
      <c r="E21" s="82"/>
      <c r="F21" s="82"/>
      <c r="G21" s="85">
        <f t="shared" si="1"/>
        <v>0</v>
      </c>
      <c r="H21" s="252" t="e">
        <f t="shared" si="0"/>
        <v>#DIV/0!</v>
      </c>
    </row>
    <row r="22" spans="1:9" ht="24.75" customHeight="1">
      <c r="A22" s="36" t="s">
        <v>86</v>
      </c>
      <c r="B22" s="109">
        <v>2142</v>
      </c>
      <c r="C22" s="82"/>
      <c r="D22" s="82"/>
      <c r="E22" s="82"/>
      <c r="F22" s="82"/>
      <c r="G22" s="85">
        <f t="shared" si="1"/>
        <v>0</v>
      </c>
      <c r="H22" s="252" t="e">
        <f t="shared" si="0"/>
        <v>#DIV/0!</v>
      </c>
    </row>
    <row r="23" spans="1:9" ht="24.75" customHeight="1">
      <c r="A23" s="36" t="s">
        <v>81</v>
      </c>
      <c r="B23" s="109">
        <v>2143</v>
      </c>
      <c r="C23" s="82"/>
      <c r="D23" s="82"/>
      <c r="E23" s="82"/>
      <c r="F23" s="82"/>
      <c r="G23" s="85">
        <f t="shared" si="1"/>
        <v>0</v>
      </c>
      <c r="H23" s="252" t="e">
        <f t="shared" si="0"/>
        <v>#DIV/0!</v>
      </c>
    </row>
    <row r="24" spans="1:9" ht="24.75" customHeight="1">
      <c r="A24" s="36" t="s">
        <v>70</v>
      </c>
      <c r="B24" s="109">
        <v>2144</v>
      </c>
      <c r="C24" s="82">
        <v>4494</v>
      </c>
      <c r="D24" s="82">
        <f>1108+1116+1247+1273</f>
        <v>4744</v>
      </c>
      <c r="E24" s="82">
        <v>1098</v>
      </c>
      <c r="F24" s="82">
        <v>1273</v>
      </c>
      <c r="G24" s="85">
        <f t="shared" si="1"/>
        <v>175</v>
      </c>
      <c r="H24" s="252">
        <f t="shared" si="0"/>
        <v>115.93806921675774</v>
      </c>
    </row>
    <row r="25" spans="1:9" s="37" customFormat="1" ht="28.5" customHeight="1">
      <c r="A25" s="36" t="s">
        <v>125</v>
      </c>
      <c r="B25" s="109">
        <v>2145</v>
      </c>
      <c r="C25" s="85">
        <f>SUM(C26:C27)</f>
        <v>0</v>
      </c>
      <c r="D25" s="85">
        <f>SUM(D26:D27)</f>
        <v>0</v>
      </c>
      <c r="E25" s="85">
        <f>SUM(E26:E27)</f>
        <v>0</v>
      </c>
      <c r="F25" s="85">
        <f>SUM(F26:F27)</f>
        <v>0</v>
      </c>
      <c r="G25" s="85">
        <f t="shared" si="1"/>
        <v>0</v>
      </c>
      <c r="H25" s="252" t="e">
        <f t="shared" si="0"/>
        <v>#DIV/0!</v>
      </c>
    </row>
    <row r="26" spans="1:9" ht="47.25" customHeight="1">
      <c r="A26" s="169" t="s">
        <v>97</v>
      </c>
      <c r="B26" s="208" t="s">
        <v>156</v>
      </c>
      <c r="C26" s="170"/>
      <c r="D26" s="170"/>
      <c r="E26" s="170"/>
      <c r="F26" s="170"/>
      <c r="G26" s="171">
        <f t="shared" si="1"/>
        <v>0</v>
      </c>
      <c r="H26" s="252" t="e">
        <f t="shared" si="0"/>
        <v>#DIV/0!</v>
      </c>
    </row>
    <row r="27" spans="1:9" ht="21.75" customHeight="1">
      <c r="A27" s="169" t="s">
        <v>22</v>
      </c>
      <c r="B27" s="208" t="s">
        <v>157</v>
      </c>
      <c r="C27" s="170"/>
      <c r="D27" s="170"/>
      <c r="E27" s="170"/>
      <c r="F27" s="170"/>
      <c r="G27" s="171">
        <f t="shared" si="1"/>
        <v>0</v>
      </c>
      <c r="H27" s="252" t="e">
        <f t="shared" si="0"/>
        <v>#DIV/0!</v>
      </c>
    </row>
    <row r="28" spans="1:9" s="37" customFormat="1" ht="25.5" customHeight="1">
      <c r="A28" s="36" t="s">
        <v>394</v>
      </c>
      <c r="B28" s="109">
        <v>2146</v>
      </c>
      <c r="C28" s="82">
        <v>64</v>
      </c>
      <c r="D28" s="82"/>
      <c r="E28" s="82">
        <v>16</v>
      </c>
      <c r="F28" s="82"/>
      <c r="G28" s="85">
        <f t="shared" si="1"/>
        <v>-16</v>
      </c>
      <c r="H28" s="252">
        <f t="shared" si="0"/>
        <v>0</v>
      </c>
    </row>
    <row r="29" spans="1:9" ht="27" customHeight="1">
      <c r="A29" s="36" t="s">
        <v>557</v>
      </c>
      <c r="B29" s="109">
        <v>2147</v>
      </c>
      <c r="C29" s="82">
        <v>357</v>
      </c>
      <c r="D29" s="82">
        <f>93+94+104+107</f>
        <v>398</v>
      </c>
      <c r="E29" s="82">
        <v>92</v>
      </c>
      <c r="F29" s="82">
        <f>107</f>
        <v>107</v>
      </c>
      <c r="G29" s="85">
        <f t="shared" si="1"/>
        <v>15</v>
      </c>
      <c r="H29" s="252">
        <f t="shared" si="0"/>
        <v>116.30434782608697</v>
      </c>
    </row>
    <row r="30" spans="1:9" s="37" customFormat="1" ht="42" customHeight="1">
      <c r="A30" s="36" t="s">
        <v>566</v>
      </c>
      <c r="B30" s="109">
        <v>2150</v>
      </c>
      <c r="C30" s="82">
        <v>5542</v>
      </c>
      <c r="D30" s="82">
        <f>1325+1334+1483+1520</f>
        <v>5662</v>
      </c>
      <c r="E30" s="82">
        <f>1342</f>
        <v>1342</v>
      </c>
      <c r="F30" s="82">
        <v>1520</v>
      </c>
      <c r="G30" s="85">
        <f t="shared" si="1"/>
        <v>178</v>
      </c>
      <c r="H30" s="252">
        <f t="shared" si="0"/>
        <v>113.26378539493294</v>
      </c>
    </row>
    <row r="31" spans="1:9" s="37" customFormat="1" ht="36.75" customHeight="1">
      <c r="A31" s="185" t="s">
        <v>187</v>
      </c>
      <c r="B31" s="196">
        <v>2200</v>
      </c>
      <c r="C31" s="85">
        <f>SUM(C16,C17:C19,C20,C30)</f>
        <v>17519</v>
      </c>
      <c r="D31" s="85">
        <f>SUM(D16,D17:D19,D20,D30)</f>
        <v>18781</v>
      </c>
      <c r="E31" s="85">
        <f>SUM(E16,E17:E19,E20,E30)</f>
        <v>3954.5</v>
      </c>
      <c r="F31" s="85">
        <f>SUM(F16,F17:F19,F20,F30)</f>
        <v>4598</v>
      </c>
      <c r="G31" s="85">
        <f t="shared" si="1"/>
        <v>643.5</v>
      </c>
      <c r="H31" s="252">
        <f>F31/E31*100</f>
        <v>116.27260083449235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256"/>
    </row>
    <row r="33" spans="1:10" s="2" customFormat="1" ht="33" customHeight="1">
      <c r="A33" s="93" t="s">
        <v>966</v>
      </c>
      <c r="B33" s="492" t="s">
        <v>290</v>
      </c>
      <c r="C33" s="492"/>
      <c r="D33" s="150"/>
      <c r="E33" s="95"/>
      <c r="F33" s="499" t="s">
        <v>959</v>
      </c>
      <c r="G33" s="499"/>
      <c r="H33" s="499"/>
    </row>
    <row r="34" spans="1:10" s="1" customFormat="1">
      <c r="A34" s="111" t="s">
        <v>235</v>
      </c>
      <c r="B34" s="112"/>
      <c r="C34" s="111" t="s">
        <v>293</v>
      </c>
      <c r="D34" s="111"/>
      <c r="E34" s="112"/>
      <c r="F34" s="536" t="s">
        <v>236</v>
      </c>
      <c r="G34" s="536"/>
      <c r="H34" s="536"/>
    </row>
    <row r="35" spans="1:10" s="38" customFormat="1">
      <c r="A35" s="296" t="s">
        <v>550</v>
      </c>
      <c r="H35" s="256"/>
      <c r="I35" s="35"/>
      <c r="J35" s="35"/>
    </row>
    <row r="36" spans="1:10" s="38" customFormat="1">
      <c r="A36" s="43"/>
      <c r="H36" s="256"/>
      <c r="I36" s="35"/>
      <c r="J36" s="35"/>
    </row>
    <row r="37" spans="1:10" s="38" customFormat="1">
      <c r="A37" s="43"/>
      <c r="H37" s="256"/>
      <c r="I37" s="35"/>
      <c r="J37" s="35"/>
    </row>
    <row r="38" spans="1:10" s="38" customFormat="1">
      <c r="A38" s="43"/>
      <c r="H38" s="256"/>
      <c r="I38" s="35"/>
      <c r="J38" s="35"/>
    </row>
    <row r="39" spans="1:10" s="38" customFormat="1">
      <c r="A39" s="43"/>
      <c r="H39" s="256"/>
      <c r="I39" s="35"/>
      <c r="J39" s="35"/>
    </row>
    <row r="40" spans="1:10" s="38" customFormat="1">
      <c r="A40" s="43"/>
      <c r="H40" s="256"/>
      <c r="I40" s="35"/>
      <c r="J40" s="35"/>
    </row>
    <row r="41" spans="1:10" s="38" customFormat="1">
      <c r="A41" s="43"/>
      <c r="H41" s="256"/>
      <c r="I41" s="35"/>
      <c r="J41" s="35"/>
    </row>
    <row r="42" spans="1:10" s="38" customFormat="1">
      <c r="A42" s="43"/>
      <c r="H42" s="256"/>
      <c r="I42" s="35"/>
      <c r="J42" s="35"/>
    </row>
    <row r="43" spans="1:10" s="38" customFormat="1">
      <c r="A43" s="43"/>
      <c r="H43" s="256"/>
      <c r="I43" s="35"/>
      <c r="J43" s="35"/>
    </row>
    <row r="44" spans="1:10" s="38" customFormat="1">
      <c r="A44" s="43"/>
      <c r="H44" s="256"/>
      <c r="I44" s="35"/>
      <c r="J44" s="35"/>
    </row>
    <row r="45" spans="1:10" s="38" customFormat="1">
      <c r="A45" s="43"/>
      <c r="H45" s="256"/>
      <c r="I45" s="35"/>
      <c r="J45" s="35"/>
    </row>
    <row r="46" spans="1:10" s="38" customFormat="1">
      <c r="A46" s="43"/>
      <c r="H46" s="256"/>
      <c r="I46" s="35"/>
      <c r="J46" s="35"/>
    </row>
    <row r="47" spans="1:10" s="38" customFormat="1">
      <c r="A47" s="43"/>
      <c r="H47" s="256"/>
      <c r="I47" s="35"/>
      <c r="J47" s="35"/>
    </row>
    <row r="48" spans="1:10" s="38" customFormat="1">
      <c r="A48" s="43"/>
      <c r="H48" s="256"/>
      <c r="I48" s="35"/>
      <c r="J48" s="35"/>
    </row>
    <row r="49" spans="1:10" s="38" customFormat="1">
      <c r="A49" s="43"/>
      <c r="H49" s="256"/>
      <c r="I49" s="35"/>
      <c r="J49" s="35"/>
    </row>
    <row r="50" spans="1:10" s="38" customFormat="1">
      <c r="A50" s="43"/>
      <c r="H50" s="256"/>
      <c r="I50" s="35"/>
      <c r="J50" s="35"/>
    </row>
    <row r="51" spans="1:10" s="38" customFormat="1">
      <c r="A51" s="43"/>
      <c r="H51" s="256"/>
      <c r="I51" s="35"/>
      <c r="J51" s="35"/>
    </row>
    <row r="52" spans="1:10" s="38" customFormat="1">
      <c r="A52" s="43"/>
      <c r="H52" s="256"/>
      <c r="I52" s="35"/>
      <c r="J52" s="35"/>
    </row>
    <row r="53" spans="1:10" s="38" customFormat="1">
      <c r="A53" s="43"/>
      <c r="H53" s="256"/>
      <c r="I53" s="35"/>
      <c r="J53" s="35"/>
    </row>
    <row r="54" spans="1:10" s="38" customFormat="1">
      <c r="A54" s="43"/>
      <c r="H54" s="256"/>
      <c r="I54" s="35"/>
      <c r="J54" s="35"/>
    </row>
    <row r="55" spans="1:10" s="38" customFormat="1">
      <c r="A55" s="43"/>
      <c r="H55" s="256"/>
      <c r="I55" s="35"/>
      <c r="J55" s="35"/>
    </row>
    <row r="56" spans="1:10" s="38" customFormat="1">
      <c r="A56" s="43"/>
      <c r="H56" s="256"/>
      <c r="I56" s="35"/>
      <c r="J56" s="35"/>
    </row>
    <row r="57" spans="1:10" s="38" customFormat="1">
      <c r="A57" s="43"/>
      <c r="H57" s="256"/>
      <c r="I57" s="35"/>
      <c r="J57" s="35"/>
    </row>
    <row r="58" spans="1:10" s="38" customFormat="1">
      <c r="A58" s="43"/>
      <c r="H58" s="256"/>
      <c r="I58" s="35"/>
      <c r="J58" s="35"/>
    </row>
    <row r="59" spans="1:10" s="38" customFormat="1">
      <c r="A59" s="43"/>
      <c r="H59" s="256"/>
      <c r="I59" s="35"/>
      <c r="J59" s="35"/>
    </row>
    <row r="60" spans="1:10" s="38" customFormat="1">
      <c r="A60" s="43"/>
      <c r="H60" s="256"/>
      <c r="I60" s="35"/>
      <c r="J60" s="35"/>
    </row>
    <row r="61" spans="1:10" s="38" customFormat="1">
      <c r="A61" s="43"/>
      <c r="H61" s="256"/>
      <c r="I61" s="35"/>
      <c r="J61" s="35"/>
    </row>
    <row r="62" spans="1:10" s="38" customFormat="1">
      <c r="A62" s="43"/>
      <c r="H62" s="256"/>
      <c r="I62" s="35"/>
      <c r="J62" s="35"/>
    </row>
    <row r="63" spans="1:10" s="38" customFormat="1">
      <c r="A63" s="43"/>
      <c r="H63" s="256"/>
      <c r="I63" s="35"/>
      <c r="J63" s="35"/>
    </row>
    <row r="64" spans="1:10" s="38" customFormat="1">
      <c r="A64" s="43"/>
      <c r="H64" s="256"/>
      <c r="I64" s="35"/>
      <c r="J64" s="35"/>
    </row>
    <row r="65" spans="1:10" s="38" customFormat="1">
      <c r="A65" s="43"/>
      <c r="H65" s="256"/>
      <c r="I65" s="35"/>
      <c r="J65" s="35"/>
    </row>
    <row r="66" spans="1:10" s="38" customFormat="1">
      <c r="A66" s="43"/>
      <c r="H66" s="256"/>
      <c r="I66" s="35"/>
      <c r="J66" s="35"/>
    </row>
    <row r="67" spans="1:10" s="38" customFormat="1">
      <c r="A67" s="43"/>
      <c r="H67" s="256"/>
      <c r="I67" s="35"/>
      <c r="J67" s="35"/>
    </row>
    <row r="68" spans="1:10" s="38" customFormat="1">
      <c r="A68" s="43"/>
      <c r="H68" s="256"/>
      <c r="I68" s="35"/>
      <c r="J68" s="35"/>
    </row>
    <row r="69" spans="1:10" s="38" customFormat="1">
      <c r="A69" s="43"/>
      <c r="H69" s="256"/>
      <c r="I69" s="35"/>
      <c r="J69" s="35"/>
    </row>
    <row r="70" spans="1:10" s="38" customFormat="1">
      <c r="A70" s="43"/>
      <c r="H70" s="256"/>
      <c r="I70" s="35"/>
      <c r="J70" s="35"/>
    </row>
    <row r="71" spans="1:10" s="38" customFormat="1">
      <c r="A71" s="43"/>
      <c r="H71" s="256"/>
      <c r="I71" s="35"/>
      <c r="J71" s="35"/>
    </row>
    <row r="72" spans="1:10" s="38" customFormat="1">
      <c r="A72" s="43"/>
      <c r="H72" s="256"/>
      <c r="I72" s="35"/>
      <c r="J72" s="35"/>
    </row>
    <row r="73" spans="1:10" s="38" customFormat="1">
      <c r="A73" s="43"/>
      <c r="H73" s="256"/>
      <c r="I73" s="35"/>
      <c r="J73" s="35"/>
    </row>
    <row r="74" spans="1:10" s="38" customFormat="1">
      <c r="A74" s="43"/>
      <c r="H74" s="256"/>
      <c r="I74" s="35"/>
      <c r="J74" s="35"/>
    </row>
    <row r="75" spans="1:10" s="38" customFormat="1">
      <c r="A75" s="43"/>
      <c r="H75" s="256"/>
      <c r="I75" s="35"/>
      <c r="J75" s="35"/>
    </row>
    <row r="76" spans="1:10" s="38" customFormat="1">
      <c r="A76" s="43"/>
      <c r="H76" s="256"/>
      <c r="I76" s="35"/>
      <c r="J76" s="35"/>
    </row>
    <row r="77" spans="1:10" s="38" customFormat="1">
      <c r="A77" s="43"/>
      <c r="H77" s="256"/>
      <c r="I77" s="35"/>
      <c r="J77" s="35"/>
    </row>
    <row r="78" spans="1:10" s="38" customFormat="1">
      <c r="A78" s="43"/>
      <c r="H78" s="256"/>
      <c r="I78" s="35"/>
      <c r="J78" s="35"/>
    </row>
    <row r="79" spans="1:10" s="38" customFormat="1">
      <c r="A79" s="43"/>
      <c r="H79" s="256"/>
      <c r="I79" s="35"/>
      <c r="J79" s="35"/>
    </row>
    <row r="80" spans="1:10" s="38" customFormat="1">
      <c r="A80" s="43"/>
      <c r="H80" s="256"/>
      <c r="I80" s="35"/>
      <c r="J80" s="35"/>
    </row>
    <row r="81" spans="1:10" s="38" customFormat="1">
      <c r="A81" s="43"/>
      <c r="H81" s="256"/>
      <c r="I81" s="35"/>
      <c r="J81" s="35"/>
    </row>
    <row r="82" spans="1:10" s="38" customFormat="1">
      <c r="A82" s="43"/>
      <c r="H82" s="256"/>
      <c r="I82" s="35"/>
      <c r="J82" s="35"/>
    </row>
    <row r="83" spans="1:10" s="38" customFormat="1">
      <c r="A83" s="43"/>
      <c r="H83" s="256"/>
      <c r="I83" s="35"/>
      <c r="J83" s="35"/>
    </row>
    <row r="84" spans="1:10" s="38" customFormat="1">
      <c r="A84" s="43"/>
      <c r="H84" s="256"/>
      <c r="I84" s="35"/>
      <c r="J84" s="35"/>
    </row>
    <row r="85" spans="1:10" s="38" customFormat="1">
      <c r="A85" s="43"/>
      <c r="H85" s="256"/>
      <c r="I85" s="35"/>
      <c r="J85" s="35"/>
    </row>
    <row r="86" spans="1:10" s="38" customFormat="1">
      <c r="A86" s="43"/>
      <c r="H86" s="256"/>
      <c r="I86" s="35"/>
      <c r="J86" s="35"/>
    </row>
    <row r="87" spans="1:10" s="38" customFormat="1">
      <c r="A87" s="43"/>
      <c r="H87" s="256"/>
      <c r="I87" s="35"/>
      <c r="J87" s="35"/>
    </row>
    <row r="88" spans="1:10" s="38" customFormat="1">
      <c r="A88" s="43"/>
      <c r="H88" s="256"/>
      <c r="I88" s="35"/>
      <c r="J88" s="35"/>
    </row>
    <row r="89" spans="1:10" s="38" customFormat="1">
      <c r="A89" s="43"/>
      <c r="H89" s="256"/>
      <c r="I89" s="35"/>
      <c r="J89" s="35"/>
    </row>
    <row r="90" spans="1:10" s="38" customFormat="1">
      <c r="A90" s="43"/>
      <c r="H90" s="256"/>
      <c r="I90" s="35"/>
      <c r="J90" s="35"/>
    </row>
    <row r="91" spans="1:10" s="38" customFormat="1">
      <c r="A91" s="43"/>
      <c r="H91" s="256"/>
      <c r="I91" s="35"/>
      <c r="J91" s="35"/>
    </row>
    <row r="92" spans="1:10" s="38" customFormat="1">
      <c r="A92" s="43"/>
      <c r="H92" s="256"/>
      <c r="I92" s="35"/>
      <c r="J92" s="35"/>
    </row>
    <row r="93" spans="1:10" s="38" customFormat="1">
      <c r="A93" s="43"/>
      <c r="H93" s="256"/>
      <c r="I93" s="35"/>
      <c r="J93" s="35"/>
    </row>
    <row r="94" spans="1:10" s="38" customFormat="1">
      <c r="A94" s="43"/>
      <c r="H94" s="256"/>
      <c r="I94" s="35"/>
      <c r="J94" s="35"/>
    </row>
    <row r="95" spans="1:10" s="38" customFormat="1">
      <c r="A95" s="43"/>
      <c r="H95" s="256"/>
      <c r="I95" s="35"/>
      <c r="J95" s="35"/>
    </row>
    <row r="96" spans="1:10" s="38" customFormat="1">
      <c r="A96" s="43"/>
      <c r="H96" s="256"/>
      <c r="I96" s="35"/>
      <c r="J96" s="35"/>
    </row>
    <row r="97" spans="1:10" s="38" customFormat="1">
      <c r="A97" s="43"/>
      <c r="H97" s="256"/>
      <c r="I97" s="35"/>
      <c r="J97" s="35"/>
    </row>
    <row r="98" spans="1:10" s="38" customFormat="1">
      <c r="A98" s="43"/>
      <c r="H98" s="256"/>
      <c r="I98" s="35"/>
      <c r="J98" s="35"/>
    </row>
    <row r="99" spans="1:10" s="38" customFormat="1">
      <c r="A99" s="43"/>
      <c r="H99" s="256"/>
      <c r="I99" s="35"/>
      <c r="J99" s="35"/>
    </row>
    <row r="100" spans="1:10" s="38" customFormat="1">
      <c r="A100" s="43"/>
      <c r="H100" s="256"/>
      <c r="I100" s="35"/>
      <c r="J100" s="35"/>
    </row>
    <row r="101" spans="1:10" s="38" customFormat="1">
      <c r="A101" s="43"/>
      <c r="H101" s="256"/>
      <c r="I101" s="35"/>
      <c r="J101" s="35"/>
    </row>
    <row r="102" spans="1:10" s="38" customFormat="1">
      <c r="A102" s="43"/>
      <c r="H102" s="256"/>
      <c r="I102" s="35"/>
      <c r="J102" s="35"/>
    </row>
    <row r="103" spans="1:10" s="38" customFormat="1">
      <c r="A103" s="43"/>
      <c r="H103" s="256"/>
      <c r="I103" s="35"/>
      <c r="J103" s="35"/>
    </row>
    <row r="104" spans="1:10" s="38" customFormat="1">
      <c r="A104" s="43"/>
      <c r="H104" s="256"/>
      <c r="I104" s="35"/>
      <c r="J104" s="35"/>
    </row>
    <row r="105" spans="1:10" s="38" customFormat="1">
      <c r="A105" s="43"/>
      <c r="H105" s="256"/>
      <c r="I105" s="35"/>
      <c r="J105" s="35"/>
    </row>
    <row r="106" spans="1:10" s="38" customFormat="1">
      <c r="A106" s="43"/>
      <c r="H106" s="256"/>
      <c r="I106" s="35"/>
      <c r="J106" s="35"/>
    </row>
    <row r="107" spans="1:10" s="38" customFormat="1">
      <c r="A107" s="43"/>
      <c r="H107" s="256"/>
      <c r="I107" s="35"/>
      <c r="J107" s="35"/>
    </row>
    <row r="108" spans="1:10" s="38" customFormat="1">
      <c r="A108" s="43"/>
      <c r="H108" s="256"/>
      <c r="I108" s="35"/>
      <c r="J108" s="35"/>
    </row>
    <row r="109" spans="1:10" s="38" customFormat="1">
      <c r="A109" s="43"/>
      <c r="H109" s="256"/>
      <c r="I109" s="35"/>
      <c r="J109" s="35"/>
    </row>
    <row r="110" spans="1:10" s="38" customFormat="1">
      <c r="A110" s="43"/>
      <c r="H110" s="256"/>
      <c r="I110" s="35"/>
      <c r="J110" s="35"/>
    </row>
    <row r="111" spans="1:10" s="38" customFormat="1">
      <c r="A111" s="43"/>
      <c r="H111" s="256"/>
      <c r="I111" s="35"/>
      <c r="J111" s="35"/>
    </row>
    <row r="112" spans="1:10" s="38" customFormat="1">
      <c r="A112" s="43"/>
      <c r="H112" s="256"/>
      <c r="I112" s="35"/>
      <c r="J112" s="35"/>
    </row>
    <row r="113" spans="1:10" s="38" customFormat="1">
      <c r="A113" s="43"/>
      <c r="H113" s="256"/>
      <c r="I113" s="35"/>
      <c r="J113" s="35"/>
    </row>
    <row r="114" spans="1:10" s="38" customFormat="1">
      <c r="A114" s="43"/>
      <c r="H114" s="256"/>
      <c r="I114" s="35"/>
      <c r="J114" s="35"/>
    </row>
    <row r="115" spans="1:10" s="38" customFormat="1">
      <c r="A115" s="43"/>
      <c r="H115" s="256"/>
      <c r="I115" s="35"/>
      <c r="J115" s="35"/>
    </row>
    <row r="116" spans="1:10" s="38" customFormat="1">
      <c r="A116" s="43"/>
      <c r="H116" s="256"/>
      <c r="I116" s="35"/>
      <c r="J116" s="35"/>
    </row>
    <row r="117" spans="1:10" s="38" customFormat="1">
      <c r="A117" s="43"/>
      <c r="H117" s="256"/>
      <c r="I117" s="35"/>
      <c r="J117" s="35"/>
    </row>
    <row r="118" spans="1:10" s="38" customFormat="1">
      <c r="A118" s="43"/>
      <c r="H118" s="256"/>
      <c r="I118" s="35"/>
      <c r="J118" s="35"/>
    </row>
    <row r="119" spans="1:10" s="38" customFormat="1">
      <c r="A119" s="43"/>
      <c r="H119" s="256"/>
      <c r="I119" s="35"/>
      <c r="J119" s="35"/>
    </row>
    <row r="120" spans="1:10" s="38" customFormat="1">
      <c r="A120" s="43"/>
      <c r="H120" s="256"/>
      <c r="I120" s="35"/>
      <c r="J120" s="35"/>
    </row>
    <row r="121" spans="1:10" s="38" customFormat="1">
      <c r="A121" s="43"/>
      <c r="H121" s="256"/>
      <c r="I121" s="35"/>
      <c r="J121" s="35"/>
    </row>
    <row r="122" spans="1:10" s="38" customFormat="1">
      <c r="A122" s="43"/>
      <c r="H122" s="256"/>
      <c r="I122" s="35"/>
      <c r="J122" s="35"/>
    </row>
    <row r="123" spans="1:10" s="38" customFormat="1">
      <c r="A123" s="43"/>
      <c r="H123" s="256"/>
      <c r="I123" s="35"/>
      <c r="J123" s="35"/>
    </row>
    <row r="124" spans="1:10" s="38" customFormat="1">
      <c r="A124" s="43"/>
      <c r="H124" s="256"/>
      <c r="I124" s="35"/>
      <c r="J124" s="35"/>
    </row>
    <row r="125" spans="1:10" s="38" customFormat="1">
      <c r="A125" s="43"/>
      <c r="H125" s="256"/>
      <c r="I125" s="35"/>
      <c r="J125" s="35"/>
    </row>
    <row r="126" spans="1:10" s="38" customFormat="1">
      <c r="A126" s="43"/>
      <c r="H126" s="256"/>
      <c r="I126" s="35"/>
      <c r="J126" s="35"/>
    </row>
    <row r="127" spans="1:10" s="38" customFormat="1">
      <c r="A127" s="43"/>
      <c r="H127" s="256"/>
      <c r="I127" s="35"/>
      <c r="J127" s="35"/>
    </row>
    <row r="128" spans="1:10" s="38" customFormat="1">
      <c r="A128" s="43"/>
      <c r="H128" s="256"/>
      <c r="I128" s="35"/>
      <c r="J128" s="35"/>
    </row>
    <row r="129" spans="1:10" s="38" customFormat="1">
      <c r="A129" s="43"/>
      <c r="H129" s="256"/>
      <c r="I129" s="35"/>
      <c r="J129" s="35"/>
    </row>
    <row r="130" spans="1:10" s="38" customFormat="1">
      <c r="A130" s="43"/>
      <c r="H130" s="256"/>
      <c r="I130" s="35"/>
      <c r="J130" s="35"/>
    </row>
    <row r="131" spans="1:10" s="38" customFormat="1">
      <c r="A131" s="43"/>
      <c r="H131" s="256"/>
      <c r="I131" s="35"/>
      <c r="J131" s="35"/>
    </row>
    <row r="132" spans="1:10" s="38" customFormat="1">
      <c r="A132" s="43"/>
      <c r="H132" s="256"/>
      <c r="I132" s="35"/>
      <c r="J132" s="35"/>
    </row>
    <row r="133" spans="1:10" s="38" customFormat="1">
      <c r="A133" s="43"/>
      <c r="H133" s="256"/>
      <c r="I133" s="35"/>
      <c r="J133" s="35"/>
    </row>
    <row r="134" spans="1:10" s="38" customFormat="1">
      <c r="A134" s="43"/>
      <c r="H134" s="256"/>
      <c r="I134" s="35"/>
      <c r="J134" s="35"/>
    </row>
    <row r="135" spans="1:10" s="38" customFormat="1">
      <c r="A135" s="43"/>
      <c r="H135" s="256"/>
      <c r="I135" s="35"/>
      <c r="J135" s="35"/>
    </row>
    <row r="136" spans="1:10" s="38" customFormat="1">
      <c r="A136" s="43"/>
      <c r="H136" s="256"/>
      <c r="I136" s="35"/>
      <c r="J136" s="35"/>
    </row>
    <row r="137" spans="1:10" s="38" customFormat="1">
      <c r="A137" s="43"/>
      <c r="H137" s="256"/>
      <c r="I137" s="35"/>
      <c r="J137" s="35"/>
    </row>
    <row r="138" spans="1:10" s="38" customFormat="1">
      <c r="A138" s="43"/>
      <c r="H138" s="256"/>
      <c r="I138" s="35"/>
      <c r="J138" s="35"/>
    </row>
    <row r="139" spans="1:10" s="38" customFormat="1">
      <c r="A139" s="43"/>
      <c r="H139" s="256"/>
      <c r="I139" s="35"/>
      <c r="J139" s="35"/>
    </row>
    <row r="140" spans="1:10" s="38" customFormat="1">
      <c r="A140" s="43"/>
      <c r="H140" s="256"/>
      <c r="I140" s="35"/>
      <c r="J140" s="35"/>
    </row>
    <row r="141" spans="1:10" s="38" customFormat="1">
      <c r="A141" s="43"/>
      <c r="H141" s="256"/>
      <c r="I141" s="35"/>
      <c r="J141" s="35"/>
    </row>
    <row r="142" spans="1:10" s="38" customFormat="1">
      <c r="A142" s="43"/>
      <c r="H142" s="256"/>
      <c r="I142" s="35"/>
      <c r="J142" s="35"/>
    </row>
    <row r="143" spans="1:10" s="38" customFormat="1">
      <c r="A143" s="43"/>
      <c r="H143" s="256"/>
      <c r="I143" s="35"/>
      <c r="J143" s="35"/>
    </row>
    <row r="144" spans="1:10" s="38" customFormat="1">
      <c r="A144" s="43"/>
      <c r="H144" s="256"/>
      <c r="I144" s="35"/>
      <c r="J144" s="35"/>
    </row>
    <row r="145" spans="1:10" s="38" customFormat="1">
      <c r="A145" s="43"/>
      <c r="H145" s="256"/>
      <c r="I145" s="35"/>
      <c r="J145" s="35"/>
    </row>
    <row r="146" spans="1:10" s="38" customFormat="1">
      <c r="A146" s="43"/>
      <c r="H146" s="256"/>
      <c r="I146" s="35"/>
      <c r="J146" s="35"/>
    </row>
    <row r="147" spans="1:10" s="38" customFormat="1">
      <c r="A147" s="43"/>
      <c r="H147" s="256"/>
      <c r="I147" s="35"/>
      <c r="J147" s="35"/>
    </row>
    <row r="148" spans="1:10" s="38" customFormat="1">
      <c r="A148" s="43"/>
      <c r="H148" s="256"/>
      <c r="I148" s="35"/>
      <c r="J148" s="35"/>
    </row>
    <row r="149" spans="1:10" s="38" customFormat="1">
      <c r="A149" s="43"/>
      <c r="H149" s="256"/>
      <c r="I149" s="35"/>
      <c r="J149" s="35"/>
    </row>
    <row r="150" spans="1:10" s="38" customFormat="1">
      <c r="A150" s="43"/>
      <c r="H150" s="256"/>
      <c r="I150" s="35"/>
      <c r="J150" s="35"/>
    </row>
    <row r="151" spans="1:10" s="38" customFormat="1">
      <c r="A151" s="43"/>
      <c r="H151" s="256"/>
      <c r="I151" s="35"/>
      <c r="J151" s="35"/>
    </row>
    <row r="152" spans="1:10" s="38" customFormat="1">
      <c r="A152" s="43"/>
      <c r="H152" s="256"/>
      <c r="I152" s="35"/>
      <c r="J152" s="35"/>
    </row>
    <row r="153" spans="1:10" s="38" customFormat="1">
      <c r="A153" s="43"/>
      <c r="H153" s="256"/>
      <c r="I153" s="35"/>
      <c r="J153" s="35"/>
    </row>
    <row r="154" spans="1:10" s="38" customFormat="1">
      <c r="A154" s="43"/>
      <c r="H154" s="256"/>
      <c r="I154" s="35"/>
      <c r="J154" s="35"/>
    </row>
    <row r="155" spans="1:10" s="38" customFormat="1">
      <c r="A155" s="43"/>
      <c r="H155" s="256"/>
      <c r="I155" s="35"/>
      <c r="J155" s="35"/>
    </row>
    <row r="156" spans="1:10" s="38" customFormat="1">
      <c r="A156" s="43"/>
      <c r="H156" s="256"/>
      <c r="I156" s="35"/>
      <c r="J156" s="35"/>
    </row>
    <row r="157" spans="1:10" s="38" customFormat="1">
      <c r="A157" s="43"/>
      <c r="H157" s="256"/>
      <c r="I157" s="35"/>
      <c r="J157" s="35"/>
    </row>
    <row r="158" spans="1:10" s="38" customFormat="1">
      <c r="A158" s="43"/>
      <c r="H158" s="256"/>
      <c r="I158" s="35"/>
      <c r="J158" s="35"/>
    </row>
    <row r="159" spans="1:10" s="38" customFormat="1">
      <c r="A159" s="43"/>
      <c r="H159" s="256"/>
      <c r="I159" s="35"/>
      <c r="J159" s="35"/>
    </row>
    <row r="160" spans="1:10" s="38" customFormat="1">
      <c r="A160" s="43"/>
      <c r="H160" s="256"/>
      <c r="I160" s="35"/>
      <c r="J160" s="35"/>
    </row>
    <row r="161" spans="1:10" s="38" customFormat="1">
      <c r="A161" s="43"/>
      <c r="H161" s="256"/>
      <c r="I161" s="35"/>
      <c r="J161" s="35"/>
    </row>
    <row r="162" spans="1:10" s="38" customFormat="1">
      <c r="A162" s="43"/>
      <c r="H162" s="256"/>
      <c r="I162" s="35"/>
      <c r="J162" s="35"/>
    </row>
    <row r="163" spans="1:10" s="38" customFormat="1">
      <c r="A163" s="43"/>
      <c r="H163" s="256"/>
      <c r="I163" s="35"/>
      <c r="J163" s="35"/>
    </row>
    <row r="164" spans="1:10" s="38" customFormat="1">
      <c r="A164" s="43"/>
      <c r="H164" s="256"/>
      <c r="I164" s="35"/>
      <c r="J164" s="35"/>
    </row>
    <row r="165" spans="1:10" s="38" customFormat="1">
      <c r="A165" s="43"/>
      <c r="H165" s="256"/>
      <c r="I165" s="35"/>
      <c r="J165" s="35"/>
    </row>
    <row r="166" spans="1:10" s="38" customFormat="1">
      <c r="A166" s="43"/>
      <c r="H166" s="256"/>
      <c r="I166" s="35"/>
      <c r="J166" s="35"/>
    </row>
    <row r="167" spans="1:10" s="38" customFormat="1">
      <c r="A167" s="43"/>
      <c r="H167" s="256"/>
      <c r="I167" s="35"/>
      <c r="J167" s="35"/>
    </row>
    <row r="168" spans="1:10" s="38" customFormat="1">
      <c r="A168" s="43"/>
      <c r="H168" s="256"/>
      <c r="I168" s="35"/>
      <c r="J168" s="35"/>
    </row>
    <row r="169" spans="1:10" s="38" customFormat="1">
      <c r="A169" s="43"/>
      <c r="H169" s="256"/>
      <c r="I169" s="35"/>
      <c r="J169" s="35"/>
    </row>
    <row r="170" spans="1:10" s="38" customFormat="1">
      <c r="A170" s="43"/>
      <c r="H170" s="256"/>
      <c r="I170" s="35"/>
      <c r="J170" s="35"/>
    </row>
    <row r="171" spans="1:10" s="38" customFormat="1">
      <c r="A171" s="43"/>
      <c r="H171" s="256"/>
      <c r="I171" s="35"/>
      <c r="J171" s="35"/>
    </row>
    <row r="172" spans="1:10" s="38" customFormat="1">
      <c r="A172" s="43"/>
      <c r="H172" s="256"/>
      <c r="I172" s="35"/>
      <c r="J172" s="35"/>
    </row>
    <row r="173" spans="1:10" s="38" customFormat="1">
      <c r="A173" s="43"/>
      <c r="H173" s="256"/>
      <c r="I173" s="35"/>
      <c r="J173" s="35"/>
    </row>
    <row r="174" spans="1:10" s="38" customFormat="1">
      <c r="A174" s="43"/>
      <c r="H174" s="256"/>
      <c r="I174" s="35"/>
      <c r="J174" s="35"/>
    </row>
    <row r="175" spans="1:10" s="38" customFormat="1">
      <c r="A175" s="43"/>
      <c r="H175" s="256"/>
      <c r="I175" s="35"/>
      <c r="J175" s="35"/>
    </row>
    <row r="176" spans="1:10" s="38" customFormat="1">
      <c r="A176" s="43"/>
      <c r="H176" s="256"/>
      <c r="I176" s="35"/>
      <c r="J176" s="35"/>
    </row>
    <row r="177" spans="1:10" s="38" customFormat="1">
      <c r="A177" s="43"/>
      <c r="H177" s="256"/>
      <c r="I177" s="35"/>
      <c r="J177" s="35"/>
    </row>
    <row r="178" spans="1:10" s="38" customFormat="1">
      <c r="A178" s="43"/>
      <c r="H178" s="256"/>
      <c r="I178" s="35"/>
      <c r="J178" s="35"/>
    </row>
    <row r="179" spans="1:10" s="38" customFormat="1">
      <c r="A179" s="43"/>
      <c r="H179" s="256"/>
      <c r="I179" s="35"/>
      <c r="J179" s="35"/>
    </row>
    <row r="180" spans="1:10" s="38" customFormat="1">
      <c r="A180" s="43"/>
      <c r="H180" s="256"/>
      <c r="I180" s="35"/>
      <c r="J180" s="35"/>
    </row>
    <row r="181" spans="1:10" s="38" customFormat="1">
      <c r="A181" s="43"/>
      <c r="H181" s="256"/>
      <c r="I181" s="35"/>
      <c r="J181" s="35"/>
    </row>
    <row r="182" spans="1:10" s="38" customFormat="1">
      <c r="A182" s="43"/>
      <c r="H182" s="256"/>
      <c r="I182" s="35"/>
      <c r="J182" s="35"/>
    </row>
    <row r="183" spans="1:10" s="38" customFormat="1">
      <c r="A183" s="43"/>
      <c r="H183" s="256"/>
      <c r="I183" s="35"/>
      <c r="J183" s="35"/>
    </row>
    <row r="184" spans="1:10" s="38" customFormat="1">
      <c r="A184" s="43"/>
      <c r="H184" s="256"/>
      <c r="I184" s="35"/>
      <c r="J184" s="35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</sheetPr>
  <dimension ref="A1:H77"/>
  <sheetViews>
    <sheetView topLeftCell="A53" zoomScale="90" zoomScaleNormal="90" zoomScaleSheetLayoutView="100" workbookViewId="0">
      <selection activeCell="E70" sqref="E70:F72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60" customWidth="1"/>
    <col min="9" max="16384" width="9.140625" style="1"/>
  </cols>
  <sheetData>
    <row r="1" spans="1:8" ht="32.25" customHeight="1">
      <c r="A1" s="505" t="s">
        <v>112</v>
      </c>
      <c r="B1" s="505"/>
      <c r="C1" s="505"/>
      <c r="D1" s="505"/>
      <c r="E1" s="505"/>
      <c r="F1" s="505"/>
      <c r="G1" s="505"/>
      <c r="H1" s="505"/>
    </row>
    <row r="2" spans="1:8" ht="6.75" customHeight="1">
      <c r="A2" s="18"/>
      <c r="B2" s="18"/>
      <c r="C2" s="18"/>
      <c r="D2" s="18"/>
      <c r="E2" s="18"/>
      <c r="F2" s="18"/>
      <c r="G2" s="18"/>
      <c r="H2" s="258"/>
    </row>
    <row r="3" spans="1:8" ht="33.75" customHeight="1">
      <c r="A3" s="510" t="s">
        <v>200</v>
      </c>
      <c r="B3" s="541" t="s">
        <v>1</v>
      </c>
      <c r="C3" s="510" t="s">
        <v>479</v>
      </c>
      <c r="D3" s="510"/>
      <c r="E3" s="542" t="s">
        <v>478</v>
      </c>
      <c r="F3" s="543"/>
      <c r="G3" s="543"/>
      <c r="H3" s="544"/>
    </row>
    <row r="4" spans="1:8" ht="60" customHeight="1">
      <c r="A4" s="510"/>
      <c r="B4" s="541"/>
      <c r="C4" s="356" t="s">
        <v>476</v>
      </c>
      <c r="D4" s="357" t="s">
        <v>477</v>
      </c>
      <c r="E4" s="47" t="s">
        <v>184</v>
      </c>
      <c r="F4" s="47" t="s">
        <v>174</v>
      </c>
      <c r="G4" s="47" t="s">
        <v>195</v>
      </c>
      <c r="H4" s="247" t="s">
        <v>196</v>
      </c>
    </row>
    <row r="5" spans="1:8" ht="13.5" customHeight="1">
      <c r="A5" s="89">
        <v>1</v>
      </c>
      <c r="B5" s="105">
        <v>2</v>
      </c>
      <c r="C5" s="89">
        <v>3</v>
      </c>
      <c r="D5" s="89">
        <v>4</v>
      </c>
      <c r="E5" s="89">
        <v>5</v>
      </c>
      <c r="F5" s="105">
        <v>6</v>
      </c>
      <c r="G5" s="89">
        <v>7</v>
      </c>
      <c r="H5" s="261">
        <v>8</v>
      </c>
    </row>
    <row r="6" spans="1:8" s="42" customFormat="1" ht="29.25" customHeight="1">
      <c r="A6" s="545" t="s">
        <v>116</v>
      </c>
      <c r="B6" s="545"/>
      <c r="C6" s="545"/>
      <c r="D6" s="545"/>
      <c r="E6" s="545"/>
      <c r="F6" s="545"/>
      <c r="G6" s="545"/>
      <c r="H6" s="545"/>
    </row>
    <row r="7" spans="1:8" ht="45" customHeight="1">
      <c r="A7" s="181" t="s">
        <v>359</v>
      </c>
      <c r="B7" s="182" t="s">
        <v>360</v>
      </c>
      <c r="C7" s="202">
        <f>SUM(C8:C12)</f>
        <v>57400</v>
      </c>
      <c r="D7" s="202">
        <f>SUM(D8:D12)</f>
        <v>60972</v>
      </c>
      <c r="E7" s="202">
        <f>SUM(E8:E12)</f>
        <v>13557</v>
      </c>
      <c r="F7" s="202">
        <f>SUM(F8:F12)</f>
        <v>15907</v>
      </c>
      <c r="G7" s="202">
        <f t="shared" ref="G7:G19" si="0">F7-E7</f>
        <v>2350</v>
      </c>
      <c r="H7" s="248">
        <f>F7/E7*100</f>
        <v>117.33421848491554</v>
      </c>
    </row>
    <row r="8" spans="1:8" ht="28.5" customHeight="1">
      <c r="A8" s="209" t="s">
        <v>339</v>
      </c>
      <c r="B8" s="178" t="s">
        <v>340</v>
      </c>
      <c r="C8" s="82">
        <v>56832</v>
      </c>
      <c r="D8" s="320">
        <f>13159+14982+16602+15880</f>
        <v>60623</v>
      </c>
      <c r="E8" s="320">
        <v>13500</v>
      </c>
      <c r="F8" s="320">
        <v>15880</v>
      </c>
      <c r="G8" s="85">
        <f t="shared" si="0"/>
        <v>2380</v>
      </c>
      <c r="H8" s="248">
        <f t="shared" ref="H8:H19" si="1">F8/E8*100</f>
        <v>117.62962962962963</v>
      </c>
    </row>
    <row r="9" spans="1:8" ht="30" customHeight="1">
      <c r="A9" s="210" t="s">
        <v>449</v>
      </c>
      <c r="B9" s="178" t="s">
        <v>341</v>
      </c>
      <c r="C9" s="82">
        <v>545</v>
      </c>
      <c r="D9" s="320">
        <v>309</v>
      </c>
      <c r="E9" s="320"/>
      <c r="F9" s="320">
        <v>309</v>
      </c>
      <c r="G9" s="85">
        <f t="shared" si="0"/>
        <v>309</v>
      </c>
      <c r="H9" s="248" t="e">
        <f t="shared" si="1"/>
        <v>#DIV/0!</v>
      </c>
    </row>
    <row r="10" spans="1:8" ht="25.5" customHeight="1">
      <c r="A10" s="210" t="s">
        <v>342</v>
      </c>
      <c r="B10" s="178" t="s">
        <v>343</v>
      </c>
      <c r="C10" s="82"/>
      <c r="D10" s="320"/>
      <c r="E10" s="320"/>
      <c r="F10" s="320"/>
      <c r="G10" s="85">
        <f t="shared" si="0"/>
        <v>0</v>
      </c>
      <c r="H10" s="248" t="e">
        <f t="shared" si="1"/>
        <v>#DIV/0!</v>
      </c>
    </row>
    <row r="11" spans="1:8" ht="24.75" customHeight="1">
      <c r="A11" s="210" t="s">
        <v>450</v>
      </c>
      <c r="B11" s="178" t="s">
        <v>344</v>
      </c>
      <c r="C11" s="82"/>
      <c r="D11" s="320"/>
      <c r="E11" s="320"/>
      <c r="F11" s="320"/>
      <c r="G11" s="85">
        <f t="shared" si="0"/>
        <v>0</v>
      </c>
      <c r="H11" s="248" t="e">
        <f t="shared" si="1"/>
        <v>#DIV/0!</v>
      </c>
    </row>
    <row r="12" spans="1:8" ht="27.75" customHeight="1">
      <c r="A12" s="210" t="s">
        <v>403</v>
      </c>
      <c r="B12" s="179" t="s">
        <v>345</v>
      </c>
      <c r="C12" s="82">
        <v>23</v>
      </c>
      <c r="D12" s="320">
        <f>48+92+182-308+26</f>
        <v>40</v>
      </c>
      <c r="E12" s="320">
        <v>57</v>
      </c>
      <c r="F12" s="320">
        <f>-308+26</f>
        <v>-282</v>
      </c>
      <c r="G12" s="85">
        <f t="shared" si="0"/>
        <v>-339</v>
      </c>
      <c r="H12" s="248">
        <f t="shared" si="1"/>
        <v>-494.73684210526318</v>
      </c>
    </row>
    <row r="13" spans="1:8" ht="41.25" customHeight="1">
      <c r="A13" s="181" t="s">
        <v>346</v>
      </c>
      <c r="B13" s="182" t="s">
        <v>347</v>
      </c>
      <c r="C13" s="202">
        <f>SUM(C14:C18)</f>
        <v>-57864</v>
      </c>
      <c r="D13" s="202">
        <f>SUM(D14:D18)</f>
        <v>-59318</v>
      </c>
      <c r="E13" s="202">
        <f>SUM(E14:E18)</f>
        <v>-14107</v>
      </c>
      <c r="F13" s="202">
        <f>SUM(F14:F18)</f>
        <v>-15076</v>
      </c>
      <c r="G13" s="202">
        <f t="shared" si="0"/>
        <v>-969</v>
      </c>
      <c r="H13" s="248">
        <f t="shared" si="1"/>
        <v>106.86893031828171</v>
      </c>
    </row>
    <row r="14" spans="1:8" ht="30.75" customHeight="1">
      <c r="A14" s="209" t="s">
        <v>348</v>
      </c>
      <c r="B14" s="178" t="s">
        <v>349</v>
      </c>
      <c r="C14" s="82">
        <v>-21596</v>
      </c>
      <c r="D14" s="82">
        <f>-4807+-4528+-6739+-3869</f>
        <v>-19943</v>
      </c>
      <c r="E14" s="82">
        <v>-5400</v>
      </c>
      <c r="F14" s="320">
        <v>-3869</v>
      </c>
      <c r="G14" s="85"/>
      <c r="H14" s="248">
        <f t="shared" si="1"/>
        <v>71.648148148148152</v>
      </c>
    </row>
    <row r="15" spans="1:8" ht="26.25" customHeight="1">
      <c r="A15" s="209" t="s">
        <v>350</v>
      </c>
      <c r="B15" s="178" t="s">
        <v>351</v>
      </c>
      <c r="C15" s="82">
        <v>-18937</v>
      </c>
      <c r="D15" s="82">
        <f>-4890+-4993+-5354+-5734</f>
        <v>-20971</v>
      </c>
      <c r="E15" s="82">
        <v>-6100</v>
      </c>
      <c r="F15" s="320">
        <v>-5734</v>
      </c>
      <c r="G15" s="85"/>
      <c r="H15" s="248">
        <f t="shared" si="1"/>
        <v>94</v>
      </c>
    </row>
    <row r="16" spans="1:8" ht="28.5" customHeight="1">
      <c r="A16" s="209" t="s">
        <v>352</v>
      </c>
      <c r="B16" s="178" t="s">
        <v>353</v>
      </c>
      <c r="C16" s="82" t="s">
        <v>486</v>
      </c>
      <c r="D16" s="82" t="s">
        <v>253</v>
      </c>
      <c r="E16" s="82" t="s">
        <v>253</v>
      </c>
      <c r="F16" s="320" t="s">
        <v>253</v>
      </c>
      <c r="G16" s="85"/>
      <c r="H16" s="248" t="e">
        <f t="shared" si="1"/>
        <v>#VALUE!</v>
      </c>
    </row>
    <row r="17" spans="1:8" ht="28.5" customHeight="1">
      <c r="A17" s="209" t="s">
        <v>354</v>
      </c>
      <c r="B17" s="179" t="s">
        <v>355</v>
      </c>
      <c r="C17" s="82">
        <v>-17295</v>
      </c>
      <c r="D17" s="320">
        <f>-3391+-4971+-4556+-5468</f>
        <v>-18386</v>
      </c>
      <c r="E17" s="82">
        <f>-2607</f>
        <v>-2607</v>
      </c>
      <c r="F17" s="320">
        <v>-5468</v>
      </c>
      <c r="G17" s="85"/>
      <c r="H17" s="248">
        <f t="shared" si="1"/>
        <v>209.74299961641734</v>
      </c>
    </row>
    <row r="18" spans="1:8" ht="29.25" customHeight="1">
      <c r="A18" s="209" t="s">
        <v>356</v>
      </c>
      <c r="B18" s="179" t="s">
        <v>357</v>
      </c>
      <c r="C18" s="82">
        <v>-36</v>
      </c>
      <c r="D18" s="320">
        <f>-2+-11+-5</f>
        <v>-18</v>
      </c>
      <c r="E18" s="82" t="s">
        <v>486</v>
      </c>
      <c r="F18" s="320">
        <v>-5</v>
      </c>
      <c r="G18" s="85"/>
      <c r="H18" s="248" t="e">
        <f t="shared" si="1"/>
        <v>#VALUE!</v>
      </c>
    </row>
    <row r="19" spans="1:8" ht="39.75" customHeight="1">
      <c r="A19" s="183" t="s">
        <v>115</v>
      </c>
      <c r="B19" s="184" t="s">
        <v>358</v>
      </c>
      <c r="C19" s="202">
        <f>C7+C13</f>
        <v>-464</v>
      </c>
      <c r="D19" s="202">
        <f t="shared" ref="D19:F19" si="2">D7+D13</f>
        <v>1654</v>
      </c>
      <c r="E19" s="202">
        <f t="shared" si="2"/>
        <v>-550</v>
      </c>
      <c r="F19" s="202">
        <f t="shared" si="2"/>
        <v>831</v>
      </c>
      <c r="G19" s="202">
        <f t="shared" si="0"/>
        <v>1381</v>
      </c>
      <c r="H19" s="248">
        <f t="shared" si="1"/>
        <v>-151.09090909090909</v>
      </c>
    </row>
    <row r="20" spans="1:8" ht="31.5" customHeight="1">
      <c r="A20" s="545" t="s">
        <v>117</v>
      </c>
      <c r="B20" s="545"/>
      <c r="C20" s="545"/>
      <c r="D20" s="545"/>
      <c r="E20" s="545"/>
      <c r="F20" s="545"/>
      <c r="G20" s="545"/>
      <c r="H20" s="545"/>
    </row>
    <row r="21" spans="1:8" ht="40.5" customHeight="1">
      <c r="A21" s="181" t="s">
        <v>395</v>
      </c>
      <c r="B21" s="197"/>
      <c r="C21" s="301">
        <f>C22+C23+C24+C25+C28</f>
        <v>0</v>
      </c>
      <c r="D21" s="301">
        <f>D22+D23+D24+D25+D28</f>
        <v>0</v>
      </c>
      <c r="E21" s="301">
        <f>E22+E23+E24+E25+E28</f>
        <v>0</v>
      </c>
      <c r="F21" s="301">
        <f>F22+F23+F24+F25+F28</f>
        <v>0</v>
      </c>
      <c r="G21" s="85">
        <f t="shared" ref="G21:G41" si="3">F21-E21</f>
        <v>0</v>
      </c>
      <c r="H21" s="252" t="e">
        <f>F21/E21*100</f>
        <v>#DIV/0!</v>
      </c>
    </row>
    <row r="22" spans="1:8" ht="28.5" customHeight="1">
      <c r="A22" s="211" t="s">
        <v>26</v>
      </c>
      <c r="B22" s="178" t="s">
        <v>398</v>
      </c>
      <c r="C22" s="82"/>
      <c r="D22" s="82"/>
      <c r="E22" s="82"/>
      <c r="F22" s="82"/>
      <c r="G22" s="85">
        <f t="shared" si="3"/>
        <v>0</v>
      </c>
      <c r="H22" s="252" t="e">
        <f t="shared" ref="H22:H31" si="4">F22/E22*100</f>
        <v>#DIV/0!</v>
      </c>
    </row>
    <row r="23" spans="1:8" ht="30" customHeight="1">
      <c r="A23" s="211" t="s">
        <v>399</v>
      </c>
      <c r="B23" s="178" t="s">
        <v>400</v>
      </c>
      <c r="C23" s="82"/>
      <c r="D23" s="82"/>
      <c r="E23" s="82"/>
      <c r="F23" s="82"/>
      <c r="G23" s="85">
        <f t="shared" si="3"/>
        <v>0</v>
      </c>
      <c r="H23" s="252" t="e">
        <f t="shared" si="4"/>
        <v>#DIV/0!</v>
      </c>
    </row>
    <row r="24" spans="1:8" ht="27" customHeight="1">
      <c r="A24" s="211" t="s">
        <v>401</v>
      </c>
      <c r="B24" s="178" t="s">
        <v>402</v>
      </c>
      <c r="C24" s="82"/>
      <c r="D24" s="82"/>
      <c r="E24" s="82"/>
      <c r="F24" s="82"/>
      <c r="G24" s="85">
        <f t="shared" si="3"/>
        <v>0</v>
      </c>
      <c r="H24" s="252" t="e">
        <f t="shared" si="4"/>
        <v>#DIV/0!</v>
      </c>
    </row>
    <row r="25" spans="1:8" ht="21.75" customHeight="1">
      <c r="A25" s="211" t="s">
        <v>121</v>
      </c>
      <c r="B25" s="227"/>
      <c r="C25" s="82"/>
      <c r="D25" s="82"/>
      <c r="E25" s="82"/>
      <c r="F25" s="82"/>
      <c r="G25" s="85">
        <f t="shared" si="3"/>
        <v>0</v>
      </c>
      <c r="H25" s="252" t="e">
        <f t="shared" si="4"/>
        <v>#DIV/0!</v>
      </c>
    </row>
    <row r="26" spans="1:8" ht="21.75" customHeight="1">
      <c r="A26" s="226" t="s">
        <v>451</v>
      </c>
      <c r="B26" s="227" t="s">
        <v>404</v>
      </c>
      <c r="C26" s="82"/>
      <c r="D26" s="82"/>
      <c r="E26" s="82"/>
      <c r="F26" s="82"/>
      <c r="G26" s="85">
        <f t="shared" si="3"/>
        <v>0</v>
      </c>
      <c r="H26" s="252" t="e">
        <f t="shared" si="4"/>
        <v>#DIV/0!</v>
      </c>
    </row>
    <row r="27" spans="1:8" ht="22.5" customHeight="1">
      <c r="A27" s="226" t="s">
        <v>452</v>
      </c>
      <c r="B27" s="227" t="s">
        <v>397</v>
      </c>
      <c r="C27" s="82"/>
      <c r="D27" s="82"/>
      <c r="E27" s="82"/>
      <c r="F27" s="82"/>
      <c r="G27" s="85">
        <f t="shared" si="3"/>
        <v>0</v>
      </c>
      <c r="H27" s="252" t="e">
        <f t="shared" si="4"/>
        <v>#DIV/0!</v>
      </c>
    </row>
    <row r="28" spans="1:8" ht="27" customHeight="1">
      <c r="A28" s="212" t="s">
        <v>403</v>
      </c>
      <c r="B28" s="213" t="s">
        <v>406</v>
      </c>
      <c r="C28" s="82"/>
      <c r="D28" s="82"/>
      <c r="E28" s="82"/>
      <c r="F28" s="82"/>
      <c r="G28" s="85">
        <f t="shared" si="3"/>
        <v>0</v>
      </c>
      <c r="H28" s="252" t="e">
        <f t="shared" si="4"/>
        <v>#DIV/0!</v>
      </c>
    </row>
    <row r="29" spans="1:8" ht="11.25" customHeight="1">
      <c r="A29" s="172" t="s">
        <v>263</v>
      </c>
      <c r="B29" s="214"/>
      <c r="C29" s="103"/>
      <c r="D29" s="103"/>
      <c r="E29" s="103"/>
      <c r="F29" s="103"/>
      <c r="G29" s="104">
        <f t="shared" si="3"/>
        <v>0</v>
      </c>
      <c r="H29" s="252" t="e">
        <f t="shared" si="4"/>
        <v>#DIV/0!</v>
      </c>
    </row>
    <row r="30" spans="1:8" ht="22.5" customHeight="1">
      <c r="A30" s="172" t="s">
        <v>271</v>
      </c>
      <c r="B30" s="215" t="s">
        <v>364</v>
      </c>
      <c r="C30" s="103"/>
      <c r="D30" s="103"/>
      <c r="E30" s="103"/>
      <c r="F30" s="103"/>
      <c r="G30" s="104">
        <f t="shared" si="3"/>
        <v>0</v>
      </c>
      <c r="H30" s="252" t="e">
        <f t="shared" si="4"/>
        <v>#DIV/0!</v>
      </c>
    </row>
    <row r="31" spans="1:8" ht="21.75" customHeight="1">
      <c r="A31" s="172" t="s">
        <v>262</v>
      </c>
      <c r="B31" s="215" t="s">
        <v>365</v>
      </c>
      <c r="C31" s="82"/>
      <c r="D31" s="82"/>
      <c r="E31" s="82"/>
      <c r="F31" s="82"/>
      <c r="G31" s="85">
        <f t="shared" si="3"/>
        <v>0</v>
      </c>
      <c r="H31" s="252" t="e">
        <f t="shared" si="4"/>
        <v>#DIV/0!</v>
      </c>
    </row>
    <row r="32" spans="1:8" ht="45.75" customHeight="1">
      <c r="A32" s="181" t="s">
        <v>396</v>
      </c>
      <c r="B32" s="182" t="s">
        <v>408</v>
      </c>
      <c r="C32" s="326">
        <f>SUM(C33:C40)</f>
        <v>-178</v>
      </c>
      <c r="D32" s="85">
        <f>SUM(D33:D40)</f>
        <v>-1254</v>
      </c>
      <c r="E32" s="85">
        <f>SUM(E33:E40)</f>
        <v>-50</v>
      </c>
      <c r="F32" s="85">
        <f>SUM(F33:F40)</f>
        <v>-1231</v>
      </c>
      <c r="G32" s="85">
        <f>F32-E32</f>
        <v>-1181</v>
      </c>
      <c r="H32" s="252">
        <f>F32/E32*100</f>
        <v>2462</v>
      </c>
    </row>
    <row r="33" spans="1:8" ht="54.75" customHeight="1">
      <c r="A33" s="211" t="s">
        <v>405</v>
      </c>
      <c r="B33" s="178" t="s">
        <v>409</v>
      </c>
      <c r="C33" s="326">
        <v>-178</v>
      </c>
      <c r="D33" s="795">
        <f>-15+-8+-1231</f>
        <v>-1254</v>
      </c>
      <c r="E33" s="82">
        <v>-50</v>
      </c>
      <c r="F33" s="82">
        <v>-1231</v>
      </c>
      <c r="G33" s="85">
        <f t="shared" si="3"/>
        <v>-1181</v>
      </c>
      <c r="H33" s="252">
        <f t="shared" ref="H33:H41" si="5">F33/E33*100</f>
        <v>2462</v>
      </c>
    </row>
    <row r="34" spans="1:8" ht="43.5" customHeight="1">
      <c r="A34" s="7" t="s">
        <v>407</v>
      </c>
      <c r="B34" s="178" t="s">
        <v>410</v>
      </c>
      <c r="C34" s="82" t="s">
        <v>253</v>
      </c>
      <c r="D34" s="82" t="s">
        <v>253</v>
      </c>
      <c r="E34" s="82" t="s">
        <v>253</v>
      </c>
      <c r="F34" s="82" t="s">
        <v>253</v>
      </c>
      <c r="G34" s="85" t="e">
        <f t="shared" si="3"/>
        <v>#VALUE!</v>
      </c>
      <c r="H34" s="252" t="e">
        <f t="shared" si="5"/>
        <v>#VALUE!</v>
      </c>
    </row>
    <row r="35" spans="1:8" ht="37.5" customHeight="1">
      <c r="A35" s="7" t="s">
        <v>413</v>
      </c>
      <c r="B35" s="178" t="s">
        <v>411</v>
      </c>
      <c r="C35" s="82" t="s">
        <v>253</v>
      </c>
      <c r="D35" s="82" t="s">
        <v>253</v>
      </c>
      <c r="E35" s="82" t="s">
        <v>253</v>
      </c>
      <c r="F35" s="82" t="s">
        <v>253</v>
      </c>
      <c r="G35" s="85" t="e">
        <f t="shared" si="3"/>
        <v>#VALUE!</v>
      </c>
      <c r="H35" s="252" t="e">
        <f t="shared" si="5"/>
        <v>#VALUE!</v>
      </c>
    </row>
    <row r="36" spans="1:8" ht="30" customHeight="1">
      <c r="A36" s="7" t="s">
        <v>46</v>
      </c>
      <c r="B36" s="178" t="s">
        <v>414</v>
      </c>
      <c r="C36" s="82" t="s">
        <v>253</v>
      </c>
      <c r="D36" s="82" t="s">
        <v>253</v>
      </c>
      <c r="E36" s="82" t="s">
        <v>253</v>
      </c>
      <c r="F36" s="82" t="s">
        <v>253</v>
      </c>
      <c r="G36" s="85" t="e">
        <f t="shared" si="3"/>
        <v>#VALUE!</v>
      </c>
      <c r="H36" s="252" t="e">
        <f t="shared" si="5"/>
        <v>#VALUE!</v>
      </c>
    </row>
    <row r="37" spans="1:8" ht="27" customHeight="1">
      <c r="A37" s="7" t="s">
        <v>356</v>
      </c>
      <c r="B37" s="179" t="s">
        <v>454</v>
      </c>
      <c r="C37" s="82" t="s">
        <v>253</v>
      </c>
      <c r="D37" s="82" t="s">
        <v>253</v>
      </c>
      <c r="E37" s="82" t="s">
        <v>253</v>
      </c>
      <c r="F37" s="82" t="s">
        <v>253</v>
      </c>
      <c r="G37" s="85" t="e">
        <f t="shared" si="3"/>
        <v>#VALUE!</v>
      </c>
      <c r="H37" s="252" t="e">
        <f t="shared" si="5"/>
        <v>#VALUE!</v>
      </c>
    </row>
    <row r="38" spans="1:8" ht="11.25" customHeight="1">
      <c r="A38" s="216" t="s">
        <v>264</v>
      </c>
      <c r="B38" s="217"/>
      <c r="C38" s="82"/>
      <c r="D38" s="82"/>
      <c r="E38" s="82"/>
      <c r="F38" s="82"/>
      <c r="G38" s="85">
        <f t="shared" si="3"/>
        <v>0</v>
      </c>
      <c r="H38" s="252" t="e">
        <f t="shared" si="5"/>
        <v>#DIV/0!</v>
      </c>
    </row>
    <row r="39" spans="1:8" ht="21.75" customHeight="1">
      <c r="A39" s="172" t="s">
        <v>271</v>
      </c>
      <c r="B39" s="218" t="s">
        <v>455</v>
      </c>
      <c r="C39" s="103" t="s">
        <v>253</v>
      </c>
      <c r="D39" s="103" t="s">
        <v>253</v>
      </c>
      <c r="E39" s="103" t="s">
        <v>253</v>
      </c>
      <c r="F39" s="103" t="s">
        <v>253</v>
      </c>
      <c r="G39" s="85" t="e">
        <f t="shared" si="3"/>
        <v>#VALUE!</v>
      </c>
      <c r="H39" s="252" t="e">
        <f t="shared" si="5"/>
        <v>#VALUE!</v>
      </c>
    </row>
    <row r="40" spans="1:8" ht="21" customHeight="1">
      <c r="A40" s="172" t="s">
        <v>412</v>
      </c>
      <c r="B40" s="218" t="s">
        <v>456</v>
      </c>
      <c r="C40" s="103" t="s">
        <v>253</v>
      </c>
      <c r="D40" s="103" t="s">
        <v>253</v>
      </c>
      <c r="E40" s="103" t="s">
        <v>253</v>
      </c>
      <c r="F40" s="103" t="s">
        <v>253</v>
      </c>
      <c r="G40" s="85" t="e">
        <f t="shared" si="3"/>
        <v>#VALUE!</v>
      </c>
      <c r="H40" s="252" t="e">
        <f t="shared" si="5"/>
        <v>#VALUE!</v>
      </c>
    </row>
    <row r="41" spans="1:8" ht="42.75" customHeight="1">
      <c r="A41" s="185" t="s">
        <v>118</v>
      </c>
      <c r="B41" s="184" t="s">
        <v>453</v>
      </c>
      <c r="C41" s="85">
        <f>SUM(C22:C24,C29:C31,C33:C37)</f>
        <v>-178</v>
      </c>
      <c r="D41" s="85">
        <f>SUM(D22:D24,D29:D31,D33:D37)</f>
        <v>-1254</v>
      </c>
      <c r="E41" s="85">
        <f>SUM(E22:E24,E29:E31,E33:E37)</f>
        <v>-50</v>
      </c>
      <c r="F41" s="85">
        <f>SUM(F22:F24,F29:F31,F33:F37)</f>
        <v>-1231</v>
      </c>
      <c r="G41" s="85">
        <f t="shared" si="3"/>
        <v>-1181</v>
      </c>
      <c r="H41" s="252">
        <f t="shared" si="5"/>
        <v>2462</v>
      </c>
    </row>
    <row r="42" spans="1:8" ht="20.100000000000001" hidden="1" customHeight="1" outlineLevel="1">
      <c r="A42" s="48"/>
      <c r="B42" s="8"/>
      <c r="C42" s="64"/>
      <c r="D42" s="64"/>
      <c r="E42" s="64"/>
      <c r="F42" s="538" t="s">
        <v>169</v>
      </c>
      <c r="G42" s="539"/>
      <c r="H42" s="540"/>
    </row>
    <row r="43" spans="1:8" ht="20.100000000000001" hidden="1" customHeight="1" outlineLevel="1">
      <c r="A43" s="48"/>
      <c r="B43" s="8"/>
      <c r="C43" s="64"/>
      <c r="D43" s="64"/>
      <c r="E43" s="64"/>
      <c r="F43" s="538" t="s">
        <v>202</v>
      </c>
      <c r="G43" s="539"/>
      <c r="H43" s="540"/>
    </row>
    <row r="44" spans="1:8" ht="30" customHeight="1" collapsed="1">
      <c r="A44" s="545" t="s">
        <v>119</v>
      </c>
      <c r="B44" s="545"/>
      <c r="C44" s="545"/>
      <c r="D44" s="545"/>
      <c r="E44" s="545"/>
      <c r="F44" s="545"/>
      <c r="G44" s="545"/>
      <c r="H44" s="545"/>
    </row>
    <row r="45" spans="1:8" ht="39" customHeight="1">
      <c r="A45" s="219" t="s">
        <v>415</v>
      </c>
      <c r="B45" s="220" t="s">
        <v>416</v>
      </c>
      <c r="C45" s="301">
        <f>C46+C47+C51+C55+C56</f>
        <v>0</v>
      </c>
      <c r="D45" s="301">
        <f>D46+D47+D51+D55+D56</f>
        <v>0</v>
      </c>
      <c r="E45" s="301">
        <f>E46+E47+E51+E55+E56</f>
        <v>0</v>
      </c>
      <c r="F45" s="301">
        <f>F46+F47+F51+F55+F56</f>
        <v>0</v>
      </c>
      <c r="G45" s="85">
        <f t="shared" ref="G45:G68" si="6">F45-E45</f>
        <v>0</v>
      </c>
      <c r="H45" s="252" t="e">
        <f>F45/E45*100</f>
        <v>#DIV/0!</v>
      </c>
    </row>
    <row r="46" spans="1:8" ht="24" customHeight="1">
      <c r="A46" s="221" t="s">
        <v>483</v>
      </c>
      <c r="B46" s="222" t="s">
        <v>417</v>
      </c>
      <c r="C46" s="82"/>
      <c r="D46" s="82"/>
      <c r="E46" s="82"/>
      <c r="F46" s="82"/>
      <c r="G46" s="85">
        <f t="shared" si="6"/>
        <v>0</v>
      </c>
      <c r="H46" s="252" t="e">
        <f t="shared" ref="H46:H56" si="7">F46/E46*100</f>
        <v>#DIV/0!</v>
      </c>
    </row>
    <row r="47" spans="1:8" ht="37.5" customHeight="1">
      <c r="A47" s="7" t="s">
        <v>444</v>
      </c>
      <c r="B47" s="222" t="s">
        <v>418</v>
      </c>
      <c r="C47" s="82"/>
      <c r="D47" s="82"/>
      <c r="E47" s="82"/>
      <c r="F47" s="82"/>
      <c r="G47" s="85">
        <f t="shared" si="6"/>
        <v>0</v>
      </c>
      <c r="H47" s="252" t="e">
        <f t="shared" si="7"/>
        <v>#DIV/0!</v>
      </c>
    </row>
    <row r="48" spans="1:8" ht="20.100000000000001" customHeight="1">
      <c r="A48" s="172" t="s">
        <v>77</v>
      </c>
      <c r="B48" s="223" t="s">
        <v>419</v>
      </c>
      <c r="C48" s="103"/>
      <c r="D48" s="103"/>
      <c r="E48" s="103"/>
      <c r="F48" s="103"/>
      <c r="G48" s="104">
        <f t="shared" si="6"/>
        <v>0</v>
      </c>
      <c r="H48" s="252" t="e">
        <f t="shared" si="7"/>
        <v>#DIV/0!</v>
      </c>
    </row>
    <row r="49" spans="1:8" ht="17.25" customHeight="1">
      <c r="A49" s="172" t="s">
        <v>78</v>
      </c>
      <c r="B49" s="223" t="s">
        <v>420</v>
      </c>
      <c r="C49" s="103"/>
      <c r="D49" s="103"/>
      <c r="E49" s="103"/>
      <c r="F49" s="103"/>
      <c r="G49" s="104">
        <f t="shared" si="6"/>
        <v>0</v>
      </c>
      <c r="H49" s="252" t="e">
        <f t="shared" si="7"/>
        <v>#DIV/0!</v>
      </c>
    </row>
    <row r="50" spans="1:8" ht="18" customHeight="1">
      <c r="A50" s="172" t="s">
        <v>89</v>
      </c>
      <c r="B50" s="223" t="s">
        <v>421</v>
      </c>
      <c r="C50" s="103"/>
      <c r="D50" s="103"/>
      <c r="E50" s="103"/>
      <c r="F50" s="103"/>
      <c r="G50" s="104">
        <f t="shared" si="6"/>
        <v>0</v>
      </c>
      <c r="H50" s="252" t="e">
        <f t="shared" si="7"/>
        <v>#DIV/0!</v>
      </c>
    </row>
    <row r="51" spans="1:8" ht="37.5" customHeight="1">
      <c r="A51" s="7" t="s">
        <v>445</v>
      </c>
      <c r="B51" s="222" t="s">
        <v>422</v>
      </c>
      <c r="C51" s="82"/>
      <c r="D51" s="82"/>
      <c r="E51" s="82"/>
      <c r="F51" s="82"/>
      <c r="G51" s="85">
        <f t="shared" si="6"/>
        <v>0</v>
      </c>
      <c r="H51" s="252" t="e">
        <f t="shared" si="7"/>
        <v>#DIV/0!</v>
      </c>
    </row>
    <row r="52" spans="1:8" ht="20.100000000000001" customHeight="1">
      <c r="A52" s="172" t="s">
        <v>77</v>
      </c>
      <c r="B52" s="223" t="s">
        <v>423</v>
      </c>
      <c r="C52" s="103"/>
      <c r="D52" s="103"/>
      <c r="E52" s="103"/>
      <c r="F52" s="103"/>
      <c r="G52" s="104">
        <f t="shared" si="6"/>
        <v>0</v>
      </c>
      <c r="H52" s="252" t="e">
        <f t="shared" si="7"/>
        <v>#DIV/0!</v>
      </c>
    </row>
    <row r="53" spans="1:8" ht="20.100000000000001" customHeight="1">
      <c r="A53" s="172" t="s">
        <v>78</v>
      </c>
      <c r="B53" s="223" t="s">
        <v>424</v>
      </c>
      <c r="C53" s="103"/>
      <c r="D53" s="103"/>
      <c r="E53" s="103"/>
      <c r="F53" s="103"/>
      <c r="G53" s="104">
        <f t="shared" si="6"/>
        <v>0</v>
      </c>
      <c r="H53" s="252" t="e">
        <f t="shared" si="7"/>
        <v>#DIV/0!</v>
      </c>
    </row>
    <row r="54" spans="1:8" ht="20.100000000000001" customHeight="1">
      <c r="A54" s="172" t="s">
        <v>89</v>
      </c>
      <c r="B54" s="223" t="s">
        <v>425</v>
      </c>
      <c r="C54" s="103"/>
      <c r="D54" s="103"/>
      <c r="E54" s="103"/>
      <c r="F54" s="103"/>
      <c r="G54" s="104">
        <f t="shared" si="6"/>
        <v>0</v>
      </c>
      <c r="H54" s="252" t="e">
        <f t="shared" si="7"/>
        <v>#DIV/0!</v>
      </c>
    </row>
    <row r="55" spans="1:8" ht="24.75" customHeight="1">
      <c r="A55" s="7" t="s">
        <v>426</v>
      </c>
      <c r="B55" s="222" t="s">
        <v>427</v>
      </c>
      <c r="C55" s="82"/>
      <c r="D55" s="82"/>
      <c r="E55" s="82"/>
      <c r="F55" s="82"/>
      <c r="G55" s="85">
        <f t="shared" si="6"/>
        <v>0</v>
      </c>
      <c r="H55" s="252" t="e">
        <f t="shared" si="7"/>
        <v>#DIV/0!</v>
      </c>
    </row>
    <row r="56" spans="1:8" ht="24" customHeight="1">
      <c r="A56" s="7" t="s">
        <v>428</v>
      </c>
      <c r="B56" s="222" t="s">
        <v>429</v>
      </c>
      <c r="C56" s="82"/>
      <c r="D56" s="82"/>
      <c r="E56" s="82"/>
      <c r="F56" s="82"/>
      <c r="G56" s="85">
        <f t="shared" si="6"/>
        <v>0</v>
      </c>
      <c r="H56" s="252" t="e">
        <f t="shared" si="7"/>
        <v>#DIV/0!</v>
      </c>
    </row>
    <row r="57" spans="1:8" ht="41.25" customHeight="1">
      <c r="A57" s="181" t="s">
        <v>430</v>
      </c>
      <c r="B57" s="182" t="s">
        <v>431</v>
      </c>
      <c r="C57" s="336">
        <f>SUM(C58:C59,C63,C67)</f>
        <v>241</v>
      </c>
      <c r="D57" s="322">
        <f>SUM(D58:D59,D63,D67)</f>
        <v>0</v>
      </c>
      <c r="E57" s="84">
        <f>SUM(E58:E59,E63,E67)</f>
        <v>0</v>
      </c>
      <c r="F57" s="84">
        <f>SUM(F58:F59,F63,F67)</f>
        <v>0</v>
      </c>
      <c r="G57" s="85">
        <f t="shared" si="6"/>
        <v>0</v>
      </c>
      <c r="H57" s="252" t="e">
        <f>F57/E57*100</f>
        <v>#DIV/0!</v>
      </c>
    </row>
    <row r="58" spans="1:8" ht="44.25" customHeight="1">
      <c r="A58" s="7" t="s">
        <v>432</v>
      </c>
      <c r="B58" s="179" t="s">
        <v>433</v>
      </c>
      <c r="C58" s="320">
        <v>241</v>
      </c>
      <c r="D58" s="320"/>
      <c r="E58" s="82" t="s">
        <v>486</v>
      </c>
      <c r="F58" s="82"/>
      <c r="G58" s="85" t="e">
        <f t="shared" si="6"/>
        <v>#VALUE!</v>
      </c>
      <c r="H58" s="252" t="e">
        <f t="shared" ref="H58:H73" si="8">F58/E58*100</f>
        <v>#VALUE!</v>
      </c>
    </row>
    <row r="59" spans="1:8" ht="37.5" customHeight="1">
      <c r="A59" s="7" t="s">
        <v>446</v>
      </c>
      <c r="B59" s="179" t="s">
        <v>434</v>
      </c>
      <c r="C59" s="320" t="s">
        <v>253</v>
      </c>
      <c r="D59" s="320" t="s">
        <v>253</v>
      </c>
      <c r="E59" s="82" t="s">
        <v>253</v>
      </c>
      <c r="F59" s="82" t="s">
        <v>253</v>
      </c>
      <c r="G59" s="85" t="e">
        <f t="shared" si="6"/>
        <v>#VALUE!</v>
      </c>
      <c r="H59" s="252" t="e">
        <f t="shared" si="8"/>
        <v>#VALUE!</v>
      </c>
    </row>
    <row r="60" spans="1:8" ht="20.100000000000001" customHeight="1">
      <c r="A60" s="172" t="s">
        <v>77</v>
      </c>
      <c r="B60" s="224" t="s">
        <v>435</v>
      </c>
      <c r="C60" s="323" t="s">
        <v>253</v>
      </c>
      <c r="D60" s="323" t="s">
        <v>253</v>
      </c>
      <c r="E60" s="103" t="s">
        <v>253</v>
      </c>
      <c r="F60" s="103" t="s">
        <v>253</v>
      </c>
      <c r="G60" s="85" t="e">
        <f t="shared" si="6"/>
        <v>#VALUE!</v>
      </c>
      <c r="H60" s="252" t="e">
        <f t="shared" si="8"/>
        <v>#VALUE!</v>
      </c>
    </row>
    <row r="61" spans="1:8" ht="20.100000000000001" customHeight="1">
      <c r="A61" s="172" t="s">
        <v>78</v>
      </c>
      <c r="B61" s="224" t="s">
        <v>436</v>
      </c>
      <c r="C61" s="323" t="s">
        <v>253</v>
      </c>
      <c r="D61" s="323" t="s">
        <v>253</v>
      </c>
      <c r="E61" s="103" t="s">
        <v>253</v>
      </c>
      <c r="F61" s="103" t="s">
        <v>253</v>
      </c>
      <c r="G61" s="85" t="e">
        <f t="shared" si="6"/>
        <v>#VALUE!</v>
      </c>
      <c r="H61" s="252" t="e">
        <f t="shared" si="8"/>
        <v>#VALUE!</v>
      </c>
    </row>
    <row r="62" spans="1:8" ht="20.100000000000001" customHeight="1">
      <c r="A62" s="172" t="s">
        <v>89</v>
      </c>
      <c r="B62" s="224" t="s">
        <v>437</v>
      </c>
      <c r="C62" s="323" t="s">
        <v>253</v>
      </c>
      <c r="D62" s="323" t="s">
        <v>253</v>
      </c>
      <c r="E62" s="103" t="s">
        <v>253</v>
      </c>
      <c r="F62" s="103" t="s">
        <v>253</v>
      </c>
      <c r="G62" s="85" t="e">
        <f t="shared" si="6"/>
        <v>#VALUE!</v>
      </c>
      <c r="H62" s="252" t="e">
        <f t="shared" si="8"/>
        <v>#VALUE!</v>
      </c>
    </row>
    <row r="63" spans="1:8" ht="40.5" customHeight="1">
      <c r="A63" s="7" t="s">
        <v>447</v>
      </c>
      <c r="B63" s="179" t="s">
        <v>438</v>
      </c>
      <c r="C63" s="320" t="s">
        <v>253</v>
      </c>
      <c r="D63" s="320" t="s">
        <v>253</v>
      </c>
      <c r="E63" s="82" t="s">
        <v>253</v>
      </c>
      <c r="F63" s="82" t="s">
        <v>253</v>
      </c>
      <c r="G63" s="85" t="e">
        <f t="shared" si="6"/>
        <v>#VALUE!</v>
      </c>
      <c r="H63" s="252" t="e">
        <f t="shared" si="8"/>
        <v>#VALUE!</v>
      </c>
    </row>
    <row r="64" spans="1:8" ht="20.100000000000001" customHeight="1">
      <c r="A64" s="172" t="s">
        <v>77</v>
      </c>
      <c r="B64" s="224" t="s">
        <v>439</v>
      </c>
      <c r="C64" s="323" t="s">
        <v>253</v>
      </c>
      <c r="D64" s="323" t="s">
        <v>253</v>
      </c>
      <c r="E64" s="103" t="s">
        <v>253</v>
      </c>
      <c r="F64" s="103" t="s">
        <v>253</v>
      </c>
      <c r="G64" s="85" t="e">
        <f t="shared" si="6"/>
        <v>#VALUE!</v>
      </c>
      <c r="H64" s="252" t="e">
        <f t="shared" si="8"/>
        <v>#VALUE!</v>
      </c>
    </row>
    <row r="65" spans="1:8" ht="20.100000000000001" customHeight="1">
      <c r="A65" s="172" t="s">
        <v>78</v>
      </c>
      <c r="B65" s="224" t="s">
        <v>440</v>
      </c>
      <c r="C65" s="323" t="s">
        <v>253</v>
      </c>
      <c r="D65" s="323" t="s">
        <v>253</v>
      </c>
      <c r="E65" s="103" t="s">
        <v>253</v>
      </c>
      <c r="F65" s="103" t="s">
        <v>253</v>
      </c>
      <c r="G65" s="85" t="e">
        <f t="shared" si="6"/>
        <v>#VALUE!</v>
      </c>
      <c r="H65" s="252" t="e">
        <f t="shared" si="8"/>
        <v>#VALUE!</v>
      </c>
    </row>
    <row r="66" spans="1:8" ht="20.100000000000001" customHeight="1">
      <c r="A66" s="172" t="s">
        <v>89</v>
      </c>
      <c r="B66" s="224" t="s">
        <v>441</v>
      </c>
      <c r="C66" s="323" t="s">
        <v>253</v>
      </c>
      <c r="D66" s="323" t="s">
        <v>253</v>
      </c>
      <c r="E66" s="103" t="s">
        <v>253</v>
      </c>
      <c r="F66" s="103" t="s">
        <v>253</v>
      </c>
      <c r="G66" s="85" t="e">
        <f t="shared" si="6"/>
        <v>#VALUE!</v>
      </c>
      <c r="H66" s="252" t="e">
        <f t="shared" si="8"/>
        <v>#VALUE!</v>
      </c>
    </row>
    <row r="67" spans="1:8" ht="24" customHeight="1">
      <c r="A67" s="7" t="s">
        <v>356</v>
      </c>
      <c r="B67" s="179" t="s">
        <v>442</v>
      </c>
      <c r="C67" s="320" t="s">
        <v>253</v>
      </c>
      <c r="D67" s="320" t="s">
        <v>253</v>
      </c>
      <c r="E67" s="82" t="s">
        <v>253</v>
      </c>
      <c r="F67" s="82" t="s">
        <v>253</v>
      </c>
      <c r="G67" s="85" t="e">
        <f t="shared" si="6"/>
        <v>#VALUE!</v>
      </c>
      <c r="H67" s="252" t="e">
        <f t="shared" si="8"/>
        <v>#VALUE!</v>
      </c>
    </row>
    <row r="68" spans="1:8" ht="31.5" customHeight="1">
      <c r="A68" s="185" t="s">
        <v>120</v>
      </c>
      <c r="B68" s="184" t="s">
        <v>443</v>
      </c>
      <c r="C68" s="336">
        <v>241</v>
      </c>
      <c r="D68" s="322">
        <f>SUM(D57,D45)</f>
        <v>0</v>
      </c>
      <c r="E68" s="84">
        <f>SUM(E57,E45)</f>
        <v>0</v>
      </c>
      <c r="F68" s="84">
        <f>SUM(F57,F45)</f>
        <v>0</v>
      </c>
      <c r="G68" s="85">
        <f t="shared" si="6"/>
        <v>0</v>
      </c>
      <c r="H68" s="252" t="e">
        <f t="shared" si="8"/>
        <v>#DIV/0!</v>
      </c>
    </row>
    <row r="69" spans="1:8" s="13" customFormat="1" ht="27.75" customHeight="1">
      <c r="A69" s="9" t="s">
        <v>226</v>
      </c>
      <c r="B69" s="91"/>
      <c r="C69" s="320"/>
      <c r="D69" s="320"/>
      <c r="E69" s="82"/>
      <c r="F69" s="82"/>
      <c r="G69" s="85">
        <f>F69-E69</f>
        <v>0</v>
      </c>
      <c r="H69" s="252" t="e">
        <f t="shared" si="8"/>
        <v>#DIV/0!</v>
      </c>
    </row>
    <row r="70" spans="1:8" s="13" customFormat="1" ht="29.25" customHeight="1">
      <c r="A70" s="190" t="s">
        <v>27</v>
      </c>
      <c r="B70" s="225">
        <v>3600</v>
      </c>
      <c r="C70" s="324">
        <v>1938</v>
      </c>
      <c r="D70" s="324">
        <v>1055</v>
      </c>
      <c r="E70" s="202">
        <v>1775</v>
      </c>
      <c r="F70" s="202">
        <v>1853</v>
      </c>
      <c r="G70" s="202">
        <f>F70-E70</f>
        <v>78</v>
      </c>
      <c r="H70" s="252">
        <f t="shared" si="8"/>
        <v>104.3943661971831</v>
      </c>
    </row>
    <row r="71" spans="1:8" s="13" customFormat="1" ht="25.5" customHeight="1">
      <c r="A71" s="62" t="s">
        <v>203</v>
      </c>
      <c r="B71" s="91">
        <v>3610</v>
      </c>
      <c r="C71" s="320"/>
      <c r="D71" s="320"/>
      <c r="E71" s="82"/>
      <c r="F71" s="82"/>
      <c r="G71" s="85">
        <f>F71-E71</f>
        <v>0</v>
      </c>
      <c r="H71" s="252" t="e">
        <f t="shared" si="8"/>
        <v>#DIV/0!</v>
      </c>
    </row>
    <row r="72" spans="1:8" s="13" customFormat="1" ht="28.5" customHeight="1">
      <c r="A72" s="190" t="s">
        <v>47</v>
      </c>
      <c r="B72" s="225">
        <v>3620</v>
      </c>
      <c r="C72" s="338">
        <v>1055</v>
      </c>
      <c r="D72" s="325">
        <v>1455</v>
      </c>
      <c r="E72" s="796">
        <f t="shared" ref="E72" si="9">E70+E73+E71</f>
        <v>1175</v>
      </c>
      <c r="F72" s="307">
        <v>1455</v>
      </c>
      <c r="G72" s="202">
        <f>F72-E72</f>
        <v>280</v>
      </c>
      <c r="H72" s="252">
        <f t="shared" si="8"/>
        <v>123.82978723404254</v>
      </c>
    </row>
    <row r="73" spans="1:8" s="13" customFormat="1" ht="33" customHeight="1">
      <c r="A73" s="190" t="s">
        <v>28</v>
      </c>
      <c r="B73" s="225">
        <v>3630</v>
      </c>
      <c r="C73" s="320">
        <f>C19+C41+C68</f>
        <v>-401</v>
      </c>
      <c r="D73" s="320">
        <v>400</v>
      </c>
      <c r="E73" s="320">
        <f t="shared" ref="E73" si="10">E19+E41+E68</f>
        <v>-600</v>
      </c>
      <c r="F73" s="320">
        <v>602</v>
      </c>
      <c r="G73" s="85">
        <f>G19+G41+G68</f>
        <v>200</v>
      </c>
      <c r="H73" s="252">
        <f t="shared" si="8"/>
        <v>-100.33333333333334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59"/>
    </row>
    <row r="75" spans="1:8" s="2" customFormat="1" ht="27.75" customHeight="1">
      <c r="A75" s="93" t="s">
        <v>967</v>
      </c>
      <c r="B75" s="492" t="s">
        <v>448</v>
      </c>
      <c r="C75" s="492"/>
      <c r="D75" s="150"/>
      <c r="E75" s="95"/>
      <c r="F75" s="499" t="s">
        <v>959</v>
      </c>
      <c r="G75" s="499"/>
      <c r="H75" s="499"/>
    </row>
    <row r="76" spans="1:8">
      <c r="A76" s="111" t="s">
        <v>180</v>
      </c>
      <c r="B76" s="500" t="s">
        <v>67</v>
      </c>
      <c r="C76" s="500"/>
      <c r="D76" s="239"/>
      <c r="E76" s="112"/>
      <c r="F76" s="491" t="s">
        <v>234</v>
      </c>
      <c r="G76" s="491"/>
      <c r="H76" s="491"/>
    </row>
    <row r="77" spans="1:8">
      <c r="A77" s="296" t="s">
        <v>550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topLeftCell="A13" zoomScaleSheetLayoutView="55" workbookViewId="0">
      <selection activeCell="C22" sqref="C22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169</v>
      </c>
    </row>
    <row r="2" spans="1:15" hidden="1" outlineLevel="1">
      <c r="H2" s="24" t="s">
        <v>159</v>
      </c>
    </row>
    <row r="3" spans="1:15" ht="63.75" customHeight="1" collapsed="1">
      <c r="A3" s="505" t="s">
        <v>152</v>
      </c>
      <c r="B3" s="505"/>
      <c r="C3" s="505"/>
      <c r="D3" s="505"/>
      <c r="E3" s="505"/>
      <c r="F3" s="505"/>
      <c r="G3" s="505"/>
      <c r="H3" s="505"/>
    </row>
    <row r="4" spans="1:15">
      <c r="A4" s="546"/>
      <c r="B4" s="546"/>
      <c r="C4" s="546"/>
      <c r="D4" s="546"/>
      <c r="E4" s="546"/>
      <c r="F4" s="546"/>
      <c r="G4" s="546"/>
      <c r="H4" s="546"/>
    </row>
    <row r="5" spans="1:15" ht="58.5" customHeight="1">
      <c r="A5" s="547" t="s">
        <v>200</v>
      </c>
      <c r="B5" s="508" t="s">
        <v>12</v>
      </c>
      <c r="C5" s="550" t="s">
        <v>479</v>
      </c>
      <c r="D5" s="551"/>
      <c r="E5" s="533" t="s">
        <v>478</v>
      </c>
      <c r="F5" s="534"/>
      <c r="G5" s="534"/>
      <c r="H5" s="535"/>
    </row>
    <row r="6" spans="1:15" ht="75.75" customHeight="1">
      <c r="A6" s="548"/>
      <c r="B6" s="508"/>
      <c r="C6" s="245" t="s">
        <v>476</v>
      </c>
      <c r="D6" s="6" t="s">
        <v>477</v>
      </c>
      <c r="E6" s="47" t="s">
        <v>184</v>
      </c>
      <c r="F6" s="47" t="s">
        <v>174</v>
      </c>
      <c r="G6" s="47" t="s">
        <v>195</v>
      </c>
      <c r="H6" s="47" t="s">
        <v>196</v>
      </c>
    </row>
    <row r="7" spans="1:15" ht="15.75" customHeight="1">
      <c r="A7" s="151">
        <v>1</v>
      </c>
      <c r="B7" s="90">
        <v>2</v>
      </c>
      <c r="C7" s="151">
        <v>3</v>
      </c>
      <c r="D7" s="151">
        <v>4</v>
      </c>
      <c r="E7" s="151">
        <v>5</v>
      </c>
      <c r="F7" s="90">
        <v>6</v>
      </c>
      <c r="G7" s="151">
        <v>7</v>
      </c>
      <c r="H7" s="90">
        <v>8</v>
      </c>
    </row>
    <row r="8" spans="1:15" s="4" customFormat="1" ht="63" customHeight="1">
      <c r="A8" s="189" t="s">
        <v>69</v>
      </c>
      <c r="B8" s="198">
        <v>4000</v>
      </c>
      <c r="C8" s="85">
        <f>SUM(C9:C14)</f>
        <v>178</v>
      </c>
      <c r="D8" s="85">
        <f>SUM(D9:D14)</f>
        <v>1254</v>
      </c>
      <c r="E8" s="85">
        <f>SUM(E9:E14)</f>
        <v>50</v>
      </c>
      <c r="F8" s="85">
        <f>SUM(F9:F14)</f>
        <v>148</v>
      </c>
      <c r="G8" s="85">
        <f t="shared" ref="G8:G14" si="0">F8-E8</f>
        <v>98</v>
      </c>
      <c r="H8" s="262">
        <f>F8/E8*100</f>
        <v>296</v>
      </c>
    </row>
    <row r="9" spans="1:15" ht="47.25" customHeight="1">
      <c r="A9" s="7" t="s">
        <v>457</v>
      </c>
      <c r="B9" s="114" t="s">
        <v>158</v>
      </c>
      <c r="C9" s="82"/>
      <c r="D9" s="82"/>
      <c r="E9" s="82"/>
      <c r="F9" s="82"/>
      <c r="G9" s="85">
        <f t="shared" si="0"/>
        <v>0</v>
      </c>
      <c r="H9" s="262" t="e">
        <f t="shared" ref="H9:H14" si="1">F9/E9*100</f>
        <v>#DIV/0!</v>
      </c>
    </row>
    <row r="10" spans="1:15" ht="57" customHeight="1">
      <c r="A10" s="7" t="s">
        <v>458</v>
      </c>
      <c r="B10" s="113">
        <v>4020</v>
      </c>
      <c r="C10" s="82">
        <v>178</v>
      </c>
      <c r="D10" s="82">
        <f>15+8+18+16</f>
        <v>57</v>
      </c>
      <c r="E10" s="82">
        <v>50</v>
      </c>
      <c r="F10" s="82">
        <v>16</v>
      </c>
      <c r="G10" s="85">
        <f t="shared" si="0"/>
        <v>-34</v>
      </c>
      <c r="H10" s="262">
        <f t="shared" si="1"/>
        <v>32</v>
      </c>
      <c r="O10" s="18"/>
    </row>
    <row r="11" spans="1:15" ht="69.75" customHeight="1">
      <c r="A11" s="7" t="s">
        <v>459</v>
      </c>
      <c r="B11" s="114">
        <v>4030</v>
      </c>
      <c r="C11" s="82"/>
      <c r="D11" s="82"/>
      <c r="E11" s="82"/>
      <c r="F11" s="82"/>
      <c r="G11" s="85">
        <f t="shared" si="0"/>
        <v>0</v>
      </c>
      <c r="H11" s="262" t="e">
        <f t="shared" si="1"/>
        <v>#DIV/0!</v>
      </c>
      <c r="N11" s="18"/>
    </row>
    <row r="12" spans="1:15" ht="61.5" customHeight="1">
      <c r="A12" s="7" t="s">
        <v>460</v>
      </c>
      <c r="B12" s="113">
        <v>4040</v>
      </c>
      <c r="C12" s="82"/>
      <c r="D12" s="82"/>
      <c r="E12" s="82"/>
      <c r="F12" s="82"/>
      <c r="G12" s="85">
        <f t="shared" si="0"/>
        <v>0</v>
      </c>
      <c r="H12" s="262" t="e">
        <f t="shared" si="1"/>
        <v>#DIV/0!</v>
      </c>
    </row>
    <row r="13" spans="1:15" ht="82.5" customHeight="1">
      <c r="A13" s="7" t="s">
        <v>461</v>
      </c>
      <c r="B13" s="114">
        <v>4050</v>
      </c>
      <c r="C13" s="82"/>
      <c r="D13" s="82"/>
      <c r="E13" s="82"/>
      <c r="F13" s="82"/>
      <c r="G13" s="85">
        <f t="shared" si="0"/>
        <v>0</v>
      </c>
      <c r="H13" s="262" t="e">
        <f t="shared" si="1"/>
        <v>#DIV/0!</v>
      </c>
    </row>
    <row r="14" spans="1:15" ht="53.25" customHeight="1">
      <c r="A14" s="7" t="s">
        <v>484</v>
      </c>
      <c r="B14" s="113">
        <v>4060</v>
      </c>
      <c r="C14" s="82"/>
      <c r="D14" s="335">
        <f>1065+132</f>
        <v>1197</v>
      </c>
      <c r="E14" s="82"/>
      <c r="F14" s="82">
        <v>132</v>
      </c>
      <c r="G14" s="85">
        <f t="shared" si="0"/>
        <v>132</v>
      </c>
      <c r="H14" s="262" t="e">
        <f t="shared" si="1"/>
        <v>#DIV/0!</v>
      </c>
    </row>
    <row r="15" spans="1:15" ht="57.75" customHeight="1">
      <c r="A15" s="549" t="s">
        <v>366</v>
      </c>
      <c r="B15" s="549"/>
      <c r="C15" s="549"/>
      <c r="D15" s="549"/>
      <c r="E15" s="549"/>
      <c r="F15" s="549"/>
      <c r="G15" s="549"/>
      <c r="H15" s="549"/>
      <c r="I15" s="180"/>
      <c r="J15" s="180"/>
      <c r="K15" s="180"/>
    </row>
    <row r="16" spans="1:15" ht="43.5" customHeight="1">
      <c r="A16" s="93" t="s">
        <v>963</v>
      </c>
      <c r="B16" s="492" t="s">
        <v>290</v>
      </c>
      <c r="C16" s="492"/>
      <c r="D16" s="372"/>
      <c r="E16" s="95"/>
      <c r="F16" s="499" t="s">
        <v>959</v>
      </c>
      <c r="G16" s="499"/>
      <c r="H16" s="499"/>
    </row>
    <row r="17" spans="1:8" s="1" customFormat="1" ht="18.75" customHeight="1">
      <c r="A17" s="111" t="s">
        <v>233</v>
      </c>
      <c r="B17" s="500" t="s">
        <v>232</v>
      </c>
      <c r="C17" s="500"/>
      <c r="D17" s="373"/>
      <c r="E17" s="112"/>
      <c r="F17" s="491" t="s">
        <v>84</v>
      </c>
      <c r="G17" s="491"/>
      <c r="H17" s="491"/>
    </row>
    <row r="18" spans="1:8" ht="18.75" customHeight="1">
      <c r="A18" s="374" t="s">
        <v>979</v>
      </c>
      <c r="B18" s="375"/>
      <c r="C18" s="375"/>
      <c r="D18" s="375"/>
      <c r="E18" s="375"/>
      <c r="F18" s="375"/>
      <c r="G18" s="375"/>
      <c r="H18" s="254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11">
    <mergeCell ref="A3:H3"/>
    <mergeCell ref="B5:B6"/>
    <mergeCell ref="A4:H4"/>
    <mergeCell ref="F17:H17"/>
    <mergeCell ref="E5:H5"/>
    <mergeCell ref="F16:H16"/>
    <mergeCell ref="A5:A6"/>
    <mergeCell ref="A15:H15"/>
    <mergeCell ref="C5:D5"/>
    <mergeCell ref="B16:C16"/>
    <mergeCell ref="B17:C17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I15"/>
  <sheetViews>
    <sheetView view="pageBreakPreview" topLeftCell="A10" zoomScale="75" zoomScaleSheetLayoutView="75" workbookViewId="0">
      <selection activeCell="K15" sqref="K15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553" t="s">
        <v>154</v>
      </c>
      <c r="B1" s="553"/>
      <c r="C1" s="553"/>
      <c r="D1" s="553"/>
      <c r="E1" s="553"/>
      <c r="F1" s="553"/>
      <c r="G1" s="553"/>
      <c r="H1" s="553"/>
      <c r="I1" s="553"/>
    </row>
    <row r="2" spans="1:9" ht="9.75" customHeight="1"/>
    <row r="3" spans="1:9" ht="63.75" customHeight="1">
      <c r="A3" s="554" t="s">
        <v>200</v>
      </c>
      <c r="B3" s="556" t="s">
        <v>1</v>
      </c>
      <c r="C3" s="554" t="s">
        <v>82</v>
      </c>
      <c r="D3" s="550" t="s">
        <v>479</v>
      </c>
      <c r="E3" s="551"/>
      <c r="F3" s="510" t="s">
        <v>478</v>
      </c>
      <c r="G3" s="510"/>
      <c r="H3" s="510"/>
      <c r="I3" s="554" t="s">
        <v>227</v>
      </c>
    </row>
    <row r="4" spans="1:9" ht="59.25" customHeight="1">
      <c r="A4" s="555"/>
      <c r="B4" s="557"/>
      <c r="C4" s="555"/>
      <c r="D4" s="245" t="s">
        <v>476</v>
      </c>
      <c r="E4" s="6" t="s">
        <v>477</v>
      </c>
      <c r="F4" s="47" t="s">
        <v>184</v>
      </c>
      <c r="G4" s="47" t="s">
        <v>174</v>
      </c>
      <c r="H4" s="47" t="s">
        <v>195</v>
      </c>
      <c r="I4" s="555"/>
    </row>
    <row r="5" spans="1:9" s="45" customFormat="1" ht="13.5" customHeight="1">
      <c r="A5" s="115">
        <v>1</v>
      </c>
      <c r="B5" s="115">
        <v>2</v>
      </c>
      <c r="C5" s="115">
        <v>3</v>
      </c>
      <c r="D5" s="115">
        <v>4</v>
      </c>
      <c r="E5" s="115"/>
      <c r="F5" s="115">
        <v>5</v>
      </c>
      <c r="G5" s="115">
        <v>6</v>
      </c>
      <c r="H5" s="115">
        <v>7</v>
      </c>
      <c r="I5" s="115">
        <v>8</v>
      </c>
    </row>
    <row r="6" spans="1:9" s="45" customFormat="1" ht="52.5" customHeight="1">
      <c r="A6" s="140" t="s">
        <v>130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272</v>
      </c>
      <c r="B7" s="89">
        <v>5000</v>
      </c>
      <c r="C7" s="80" t="s">
        <v>246</v>
      </c>
      <c r="D7" s="298">
        <f>'1. Фін результат'!C70/'Осн фін показн (кварт)'!C48</f>
        <v>1.0032695002335357E-2</v>
      </c>
      <c r="E7" s="298">
        <f>'1. Фін результат'!D70/'Осн фін показн (кварт)'!D48</f>
        <v>5.3860308211301083E-3</v>
      </c>
      <c r="F7" s="298" t="e">
        <f>'1. Фін результат'!E70/'Осн фін показн (кварт)'!E48</f>
        <v>#DIV/0!</v>
      </c>
      <c r="G7" s="298">
        <f>'1. Фін результат'!F70/'Осн фін показн (кварт)'!F48</f>
        <v>-1.1347082726366633E-2</v>
      </c>
      <c r="H7" s="68" t="e">
        <f>G7-F7</f>
        <v>#DIV/0!</v>
      </c>
      <c r="I7" s="70" t="s">
        <v>247</v>
      </c>
    </row>
    <row r="8" spans="1:9" ht="126" customHeight="1">
      <c r="A8" s="187" t="s">
        <v>254</v>
      </c>
      <c r="B8" s="89">
        <v>5010</v>
      </c>
      <c r="C8" s="80" t="s">
        <v>83</v>
      </c>
      <c r="D8" s="298">
        <f>'Осн фін показн (кварт)'!C24/'Осн фін показн (кварт)'!C13</f>
        <v>1.112861109959796E-2</v>
      </c>
      <c r="E8" s="298">
        <f>'Осн фін показн (кварт)'!D24/'Осн фін показн (кварт)'!D13</f>
        <v>5.6547199806813841E-3</v>
      </c>
      <c r="F8" s="298">
        <f>'Осн фін показн (кварт)'!E24/'Осн фін показн (кварт)'!E13</f>
        <v>2.1824530772588389E-4</v>
      </c>
      <c r="G8" s="298">
        <f>'Осн фін показн (кварт)'!F24/'Осн фін показн (кварт)'!F13</f>
        <v>-4.7329708986248803E-2</v>
      </c>
      <c r="H8" s="68">
        <f>G8-F8</f>
        <v>-4.7547954293974688E-2</v>
      </c>
      <c r="I8" s="70" t="s">
        <v>248</v>
      </c>
    </row>
    <row r="9" spans="1:9" ht="50.25" customHeight="1">
      <c r="A9" s="140" t="s">
        <v>131</v>
      </c>
      <c r="B9" s="89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273</v>
      </c>
      <c r="B10" s="89">
        <v>5100</v>
      </c>
      <c r="C10" s="80" t="s">
        <v>127</v>
      </c>
      <c r="D10" s="299">
        <f>'Осн фін показн (кварт)'!C54/('Осн фін показн (кварт)'!C49+'Осн фін показн (кварт)'!C50)</f>
        <v>15.195158850226928</v>
      </c>
      <c r="E10" s="299">
        <f>'Осн фін показн (кварт)'!D54/('Осн фін показн (кварт)'!D49+'Осн фін показн (кварт)'!D50)</f>
        <v>13.492232215862632</v>
      </c>
      <c r="F10" s="299">
        <f>'Осн фін показн (кварт)'!E54/('Осн фін показн (кварт)'!E49+'Осн фін показн (кварт)'!E50)</f>
        <v>54.934090909090912</v>
      </c>
      <c r="G10" s="299">
        <f>'Осн фін показн (кварт)'!F54/('Осн фін показн (кварт)'!F49+'Осн фін показн (кварт)'!F50)</f>
        <v>13.492232215862632</v>
      </c>
      <c r="H10" s="299">
        <f>G10-F10</f>
        <v>-41.441858693228284</v>
      </c>
      <c r="I10" s="152" t="s">
        <v>249</v>
      </c>
    </row>
    <row r="11" spans="1:9" ht="192" customHeight="1">
      <c r="A11" s="69" t="s">
        <v>274</v>
      </c>
      <c r="B11" s="89">
        <v>5110</v>
      </c>
      <c r="C11" s="80" t="s">
        <v>127</v>
      </c>
      <c r="D11" s="299">
        <f>'Осн фін показн (кварт)'!C46/'Осн фін показн (кварт)'!C50</f>
        <v>3.4541062801932365</v>
      </c>
      <c r="E11" s="299">
        <f>'Осн фін показн (кварт)'!D46/'Осн фін показн (кварт)'!D50</f>
        <v>3.5458499456324755</v>
      </c>
      <c r="F11" s="299" t="e">
        <f>'Осн фін показн (кварт)'!E46/'Осн фін показн (кварт)'!E50</f>
        <v>#DIV/0!</v>
      </c>
      <c r="G11" s="299">
        <f>'Осн фін показн (кварт)'!F46/'Осн фін показн (кварт)'!F50</f>
        <v>3.5458499456324755</v>
      </c>
      <c r="H11" s="299" t="e">
        <f>G11-F11</f>
        <v>#DIV/0!</v>
      </c>
      <c r="I11" s="152" t="s">
        <v>250</v>
      </c>
    </row>
    <row r="12" spans="1:9" ht="169.5" customHeight="1">
      <c r="A12" s="10" t="s">
        <v>464</v>
      </c>
      <c r="B12" s="228">
        <v>5120</v>
      </c>
      <c r="C12" s="80" t="s">
        <v>127</v>
      </c>
      <c r="D12" s="300">
        <v>0.02</v>
      </c>
      <c r="E12" s="300">
        <v>0.03</v>
      </c>
      <c r="F12" s="300">
        <v>0</v>
      </c>
      <c r="G12" s="300">
        <v>0.03</v>
      </c>
      <c r="H12" s="299">
        <f>G12-F12</f>
        <v>0.03</v>
      </c>
      <c r="I12" s="10" t="s">
        <v>361</v>
      </c>
    </row>
    <row r="13" spans="1:9" s="2" customFormat="1" ht="41.25" customHeight="1">
      <c r="A13" s="93" t="s">
        <v>968</v>
      </c>
      <c r="B13" s="94"/>
      <c r="C13" s="492" t="s">
        <v>257</v>
      </c>
      <c r="D13" s="492"/>
      <c r="E13" s="150"/>
      <c r="F13" s="95"/>
      <c r="G13" s="499" t="s">
        <v>959</v>
      </c>
      <c r="H13" s="499"/>
      <c r="I13" s="499"/>
    </row>
    <row r="14" spans="1:9" s="1" customFormat="1" ht="18.75">
      <c r="A14" s="111" t="s">
        <v>233</v>
      </c>
      <c r="B14" s="112"/>
      <c r="C14" s="500" t="s">
        <v>67</v>
      </c>
      <c r="D14" s="500"/>
      <c r="E14" s="239"/>
      <c r="F14" s="112"/>
      <c r="G14" s="491" t="s">
        <v>84</v>
      </c>
      <c r="H14" s="491"/>
      <c r="I14" s="491"/>
    </row>
    <row r="15" spans="1:9" ht="30" customHeight="1">
      <c r="A15" s="552" t="s">
        <v>549</v>
      </c>
      <c r="B15" s="552"/>
      <c r="C15" s="552"/>
    </row>
  </sheetData>
  <mergeCells count="12">
    <mergeCell ref="A1:I1"/>
    <mergeCell ref="A3:A4"/>
    <mergeCell ref="B3:B4"/>
    <mergeCell ref="C3:C4"/>
    <mergeCell ref="I3:I4"/>
    <mergeCell ref="F3:H3"/>
    <mergeCell ref="A15:C15"/>
    <mergeCell ref="D3:E3"/>
    <mergeCell ref="C13:D13"/>
    <mergeCell ref="G13:I13"/>
    <mergeCell ref="C14:D14"/>
    <mergeCell ref="G14:I14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O86"/>
  <sheetViews>
    <sheetView view="pageBreakPreview" topLeftCell="A3" zoomScale="60" zoomScaleNormal="75" workbookViewId="0">
      <selection activeCell="X21" sqref="X21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636" t="s">
        <v>169</v>
      </c>
      <c r="O1" s="636"/>
    </row>
    <row r="2" spans="1:15" hidden="1" outlineLevel="1">
      <c r="N2" s="636" t="s">
        <v>182</v>
      </c>
      <c r="O2" s="636"/>
    </row>
    <row r="3" spans="1:15" ht="24.75" customHeight="1" collapsed="1">
      <c r="A3" s="637" t="s">
        <v>90</v>
      </c>
      <c r="B3" s="637"/>
      <c r="C3" s="637"/>
      <c r="D3" s="637"/>
      <c r="E3" s="637"/>
      <c r="F3" s="637"/>
      <c r="G3" s="637"/>
      <c r="H3" s="637"/>
      <c r="I3" s="637"/>
      <c r="J3" s="637"/>
      <c r="K3" s="637"/>
      <c r="L3" s="637"/>
      <c r="M3" s="637"/>
      <c r="N3" s="637"/>
      <c r="O3" s="637"/>
    </row>
    <row r="4" spans="1:15" ht="23.25" customHeight="1">
      <c r="A4" s="637" t="s">
        <v>723</v>
      </c>
      <c r="B4" s="637"/>
      <c r="C4" s="637"/>
      <c r="D4" s="637"/>
      <c r="E4" s="637"/>
      <c r="F4" s="637"/>
      <c r="G4" s="637"/>
      <c r="H4" s="637"/>
      <c r="I4" s="637"/>
      <c r="J4" s="637"/>
      <c r="K4" s="637"/>
      <c r="L4" s="637"/>
      <c r="M4" s="637"/>
      <c r="N4" s="637"/>
      <c r="O4" s="637"/>
    </row>
    <row r="5" spans="1:15" ht="14.25" customHeight="1">
      <c r="A5" s="521" t="s">
        <v>492</v>
      </c>
      <c r="B5" s="521"/>
      <c r="C5" s="521"/>
      <c r="D5" s="521"/>
      <c r="E5" s="521"/>
      <c r="F5" s="521"/>
      <c r="G5" s="521"/>
      <c r="H5" s="521"/>
      <c r="I5" s="521"/>
      <c r="J5" s="521"/>
      <c r="K5" s="521"/>
      <c r="L5" s="521"/>
      <c r="M5" s="521"/>
      <c r="N5" s="521"/>
      <c r="O5" s="521"/>
    </row>
    <row r="6" spans="1:15" ht="15" customHeight="1">
      <c r="A6" s="638" t="s">
        <v>98</v>
      </c>
      <c r="B6" s="638"/>
      <c r="C6" s="638"/>
      <c r="D6" s="638"/>
      <c r="E6" s="638"/>
      <c r="F6" s="638"/>
      <c r="G6" s="638"/>
      <c r="H6" s="638"/>
      <c r="I6" s="638"/>
      <c r="J6" s="638"/>
      <c r="K6" s="638"/>
      <c r="L6" s="638"/>
      <c r="M6" s="638"/>
      <c r="N6" s="638"/>
      <c r="O6" s="638"/>
    </row>
    <row r="7" spans="1:15" ht="21" customHeight="1">
      <c r="A7" s="572" t="s">
        <v>76</v>
      </c>
      <c r="B7" s="572"/>
      <c r="C7" s="572"/>
      <c r="D7" s="572"/>
      <c r="E7" s="572"/>
      <c r="F7" s="572"/>
      <c r="G7" s="572"/>
      <c r="H7" s="572"/>
      <c r="I7" s="572"/>
      <c r="J7" s="572"/>
      <c r="K7" s="572"/>
      <c r="L7" s="572"/>
      <c r="M7" s="572"/>
      <c r="N7" s="572"/>
      <c r="O7" s="572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635" t="s">
        <v>228</v>
      </c>
      <c r="B9" s="635"/>
      <c r="C9" s="635"/>
      <c r="D9" s="635"/>
      <c r="E9" s="635"/>
      <c r="F9" s="635"/>
      <c r="G9" s="635"/>
      <c r="H9" s="635"/>
      <c r="I9" s="635"/>
      <c r="J9" s="635"/>
      <c r="K9" s="635"/>
      <c r="L9" s="635"/>
      <c r="M9" s="635"/>
      <c r="N9" s="635"/>
      <c r="O9" s="635"/>
    </row>
    <row r="10" spans="1:15" ht="4.5" customHeight="1">
      <c r="B10" s="1"/>
    </row>
    <row r="11" spans="1:15" s="2" customFormat="1" ht="46.5" customHeight="1">
      <c r="A11" s="6" t="s">
        <v>200</v>
      </c>
      <c r="B11" s="510" t="s">
        <v>568</v>
      </c>
      <c r="C11" s="510"/>
      <c r="D11" s="510" t="s">
        <v>25</v>
      </c>
      <c r="E11" s="510"/>
      <c r="F11" s="510" t="s">
        <v>229</v>
      </c>
      <c r="G11" s="510"/>
      <c r="H11" s="510" t="s">
        <v>230</v>
      </c>
      <c r="I11" s="510"/>
      <c r="J11" s="510" t="s">
        <v>231</v>
      </c>
      <c r="K11" s="510"/>
      <c r="L11" s="510" t="s">
        <v>205</v>
      </c>
      <c r="M11" s="510"/>
      <c r="N11" s="510" t="s">
        <v>206</v>
      </c>
      <c r="O11" s="510"/>
    </row>
    <row r="12" spans="1:15" s="2" customFormat="1" ht="12.75" customHeight="1">
      <c r="A12" s="89">
        <v>1</v>
      </c>
      <c r="B12" s="614">
        <v>2</v>
      </c>
      <c r="C12" s="616"/>
      <c r="D12" s="614">
        <v>3</v>
      </c>
      <c r="E12" s="616"/>
      <c r="F12" s="614">
        <v>4</v>
      </c>
      <c r="G12" s="616"/>
      <c r="H12" s="614">
        <v>5</v>
      </c>
      <c r="I12" s="616"/>
      <c r="J12" s="614">
        <v>6</v>
      </c>
      <c r="K12" s="616"/>
      <c r="L12" s="614">
        <v>7</v>
      </c>
      <c r="M12" s="616"/>
      <c r="N12" s="508">
        <v>8</v>
      </c>
      <c r="O12" s="508"/>
    </row>
    <row r="13" spans="1:15" s="2" customFormat="1" ht="38.25" customHeight="1">
      <c r="A13" s="9" t="s">
        <v>99</v>
      </c>
      <c r="B13" s="585">
        <v>276</v>
      </c>
      <c r="C13" s="585"/>
      <c r="D13" s="585">
        <v>238</v>
      </c>
      <c r="E13" s="585"/>
      <c r="F13" s="585">
        <v>270</v>
      </c>
      <c r="G13" s="585"/>
      <c r="H13" s="585">
        <v>270</v>
      </c>
      <c r="I13" s="585"/>
      <c r="J13" s="607">
        <v>237</v>
      </c>
      <c r="K13" s="607"/>
      <c r="L13" s="559">
        <f>J13-H13</f>
        <v>-33</v>
      </c>
      <c r="M13" s="559"/>
      <c r="N13" s="558">
        <f>J13/H13*100</f>
        <v>87.777777777777771</v>
      </c>
      <c r="O13" s="558"/>
    </row>
    <row r="14" spans="1:15" s="2" customFormat="1" ht="24" customHeight="1">
      <c r="A14" s="7" t="s">
        <v>208</v>
      </c>
      <c r="B14" s="585">
        <v>1</v>
      </c>
      <c r="C14" s="585"/>
      <c r="D14" s="585">
        <v>1</v>
      </c>
      <c r="E14" s="585"/>
      <c r="F14" s="585">
        <v>1</v>
      </c>
      <c r="G14" s="585"/>
      <c r="H14" s="585">
        <v>1</v>
      </c>
      <c r="I14" s="585"/>
      <c r="J14" s="607">
        <v>1</v>
      </c>
      <c r="K14" s="607"/>
      <c r="L14" s="559">
        <f t="shared" ref="L14:L32" si="0">J14-H14</f>
        <v>0</v>
      </c>
      <c r="M14" s="559"/>
      <c r="N14" s="558">
        <f t="shared" ref="N14:N32" si="1">J14/H14*100</f>
        <v>100</v>
      </c>
      <c r="O14" s="558"/>
    </row>
    <row r="15" spans="1:15" s="2" customFormat="1" ht="33.75" customHeight="1">
      <c r="A15" s="7" t="s">
        <v>207</v>
      </c>
      <c r="B15" s="585">
        <v>28</v>
      </c>
      <c r="C15" s="585"/>
      <c r="D15" s="585">
        <v>23</v>
      </c>
      <c r="E15" s="585"/>
      <c r="F15" s="585">
        <v>27</v>
      </c>
      <c r="G15" s="585"/>
      <c r="H15" s="585">
        <v>27</v>
      </c>
      <c r="I15" s="585"/>
      <c r="J15" s="607">
        <v>23</v>
      </c>
      <c r="K15" s="607"/>
      <c r="L15" s="559">
        <f t="shared" si="0"/>
        <v>-4</v>
      </c>
      <c r="M15" s="559"/>
      <c r="N15" s="558">
        <f t="shared" si="1"/>
        <v>85.18518518518519</v>
      </c>
      <c r="O15" s="558"/>
    </row>
    <row r="16" spans="1:15" s="2" customFormat="1" ht="27" customHeight="1" thickBot="1">
      <c r="A16" s="265" t="s">
        <v>209</v>
      </c>
      <c r="B16" s="586">
        <v>247</v>
      </c>
      <c r="C16" s="586"/>
      <c r="D16" s="586">
        <v>214</v>
      </c>
      <c r="E16" s="586"/>
      <c r="F16" s="586">
        <v>242</v>
      </c>
      <c r="G16" s="586"/>
      <c r="H16" s="586">
        <v>242</v>
      </c>
      <c r="I16" s="586"/>
      <c r="J16" s="634">
        <f>J13-J14-J15</f>
        <v>213</v>
      </c>
      <c r="K16" s="634"/>
      <c r="L16" s="608">
        <f t="shared" si="0"/>
        <v>-29</v>
      </c>
      <c r="M16" s="608"/>
      <c r="N16" s="609">
        <f t="shared" si="1"/>
        <v>88.016528925619824</v>
      </c>
      <c r="O16" s="609"/>
    </row>
    <row r="17" spans="1:15" s="2" customFormat="1" ht="35.25" customHeight="1">
      <c r="A17" s="267" t="s">
        <v>238</v>
      </c>
      <c r="B17" s="587">
        <v>5849</v>
      </c>
      <c r="C17" s="587"/>
      <c r="D17" s="587">
        <f t="shared" ref="D17" si="2">SUM(D18:E20)</f>
        <v>6157</v>
      </c>
      <c r="E17" s="587"/>
      <c r="F17" s="587">
        <f t="shared" ref="F17" si="3">SUM(F18:G20)</f>
        <v>24400</v>
      </c>
      <c r="G17" s="587"/>
      <c r="H17" s="587">
        <f>SUM(H18:I20)</f>
        <v>6100</v>
      </c>
      <c r="I17" s="587"/>
      <c r="J17" s="587">
        <v>7046.7</v>
      </c>
      <c r="K17" s="587"/>
      <c r="L17" s="600">
        <f t="shared" si="0"/>
        <v>946.69999999999982</v>
      </c>
      <c r="M17" s="600"/>
      <c r="N17" s="601">
        <f t="shared" si="1"/>
        <v>115.51967213114753</v>
      </c>
      <c r="O17" s="602"/>
    </row>
    <row r="18" spans="1:15" s="2" customFormat="1" ht="23.25" customHeight="1">
      <c r="A18" s="268" t="s">
        <v>208</v>
      </c>
      <c r="B18" s="585">
        <v>85</v>
      </c>
      <c r="C18" s="585"/>
      <c r="D18" s="585">
        <v>89</v>
      </c>
      <c r="E18" s="585"/>
      <c r="F18" s="585">
        <v>339</v>
      </c>
      <c r="G18" s="585"/>
      <c r="H18" s="585">
        <f>F18/4</f>
        <v>84.75</v>
      </c>
      <c r="I18" s="585"/>
      <c r="J18" s="607">
        <v>67</v>
      </c>
      <c r="K18" s="607"/>
      <c r="L18" s="559">
        <f t="shared" si="0"/>
        <v>-17.75</v>
      </c>
      <c r="M18" s="559"/>
      <c r="N18" s="558">
        <f t="shared" si="1"/>
        <v>79.056047197640126</v>
      </c>
      <c r="O18" s="603"/>
    </row>
    <row r="19" spans="1:15" s="2" customFormat="1" ht="33.75" customHeight="1">
      <c r="A19" s="268" t="s">
        <v>207</v>
      </c>
      <c r="B19" s="585">
        <v>1041</v>
      </c>
      <c r="C19" s="585"/>
      <c r="D19" s="585">
        <v>1069</v>
      </c>
      <c r="E19" s="585"/>
      <c r="F19" s="585">
        <v>4461</v>
      </c>
      <c r="G19" s="585"/>
      <c r="H19" s="585">
        <f>F19/4</f>
        <v>1115.25</v>
      </c>
      <c r="I19" s="585"/>
      <c r="J19" s="585">
        <v>1467</v>
      </c>
      <c r="K19" s="585"/>
      <c r="L19" s="559">
        <f t="shared" si="0"/>
        <v>351.75</v>
      </c>
      <c r="M19" s="559"/>
      <c r="N19" s="558">
        <f t="shared" si="1"/>
        <v>131.54001344989911</v>
      </c>
      <c r="O19" s="603"/>
    </row>
    <row r="20" spans="1:15" s="2" customFormat="1" ht="24" customHeight="1" thickBot="1">
      <c r="A20" s="371" t="s">
        <v>209</v>
      </c>
      <c r="B20" s="586">
        <v>4723</v>
      </c>
      <c r="C20" s="586"/>
      <c r="D20" s="586">
        <v>4999</v>
      </c>
      <c r="E20" s="586"/>
      <c r="F20" s="586">
        <v>19600</v>
      </c>
      <c r="G20" s="586"/>
      <c r="H20" s="586">
        <f>F20/4</f>
        <v>4900</v>
      </c>
      <c r="I20" s="586"/>
      <c r="J20" s="586">
        <f>J17-J18-J19</f>
        <v>5512.7</v>
      </c>
      <c r="K20" s="586"/>
      <c r="L20" s="608">
        <f t="shared" si="0"/>
        <v>612.69999999999982</v>
      </c>
      <c r="M20" s="608"/>
      <c r="N20" s="609">
        <f t="shared" si="1"/>
        <v>112.50408163265307</v>
      </c>
      <c r="O20" s="610"/>
    </row>
    <row r="21" spans="1:15" s="2" customFormat="1" ht="36.75" customHeight="1">
      <c r="A21" s="267" t="s">
        <v>239</v>
      </c>
      <c r="B21" s="587">
        <v>5849</v>
      </c>
      <c r="C21" s="587"/>
      <c r="D21" s="587">
        <f>SUM(D22:E24)</f>
        <v>6157</v>
      </c>
      <c r="E21" s="587"/>
      <c r="F21" s="587">
        <v>24400</v>
      </c>
      <c r="G21" s="587"/>
      <c r="H21" s="587">
        <f>SUM(H22:I24)</f>
        <v>6100</v>
      </c>
      <c r="I21" s="587"/>
      <c r="J21" s="591">
        <v>7464</v>
      </c>
      <c r="K21" s="592"/>
      <c r="L21" s="600">
        <f t="shared" si="0"/>
        <v>1364</v>
      </c>
      <c r="M21" s="600"/>
      <c r="N21" s="601">
        <f t="shared" si="1"/>
        <v>122.36065573770492</v>
      </c>
      <c r="O21" s="602"/>
    </row>
    <row r="22" spans="1:15" s="2" customFormat="1" ht="26.25" customHeight="1">
      <c r="A22" s="268" t="s">
        <v>208</v>
      </c>
      <c r="B22" s="585">
        <v>85</v>
      </c>
      <c r="C22" s="585"/>
      <c r="D22" s="585">
        <f>D18</f>
        <v>89</v>
      </c>
      <c r="E22" s="585"/>
      <c r="F22" s="585">
        <v>339</v>
      </c>
      <c r="G22" s="585"/>
      <c r="H22" s="585">
        <f>F22/4</f>
        <v>84.75</v>
      </c>
      <c r="I22" s="585"/>
      <c r="J22" s="560">
        <v>67</v>
      </c>
      <c r="K22" s="561"/>
      <c r="L22" s="559">
        <f t="shared" si="0"/>
        <v>-17.75</v>
      </c>
      <c r="M22" s="559"/>
      <c r="N22" s="558">
        <f t="shared" si="1"/>
        <v>79.056047197640126</v>
      </c>
      <c r="O22" s="603"/>
    </row>
    <row r="23" spans="1:15" s="2" customFormat="1" ht="36" customHeight="1">
      <c r="A23" s="268" t="s">
        <v>207</v>
      </c>
      <c r="B23" s="585">
        <v>1041</v>
      </c>
      <c r="C23" s="585"/>
      <c r="D23" s="585">
        <f t="shared" ref="D23:D24" si="4">D19</f>
        <v>1069</v>
      </c>
      <c r="E23" s="585"/>
      <c r="F23" s="585">
        <v>4461</v>
      </c>
      <c r="G23" s="585"/>
      <c r="H23" s="585">
        <f>F23/4</f>
        <v>1115.25</v>
      </c>
      <c r="I23" s="585"/>
      <c r="J23" s="560">
        <v>1467</v>
      </c>
      <c r="K23" s="561"/>
      <c r="L23" s="559">
        <f t="shared" si="0"/>
        <v>351.75</v>
      </c>
      <c r="M23" s="559"/>
      <c r="N23" s="558">
        <f t="shared" si="1"/>
        <v>131.54001344989911</v>
      </c>
      <c r="O23" s="603"/>
    </row>
    <row r="24" spans="1:15" s="2" customFormat="1" ht="24" customHeight="1" thickBot="1">
      <c r="A24" s="269" t="s">
        <v>209</v>
      </c>
      <c r="B24" s="589">
        <v>4723</v>
      </c>
      <c r="C24" s="589"/>
      <c r="D24" s="589">
        <f t="shared" si="4"/>
        <v>4999</v>
      </c>
      <c r="E24" s="589"/>
      <c r="F24" s="589">
        <v>19600</v>
      </c>
      <c r="G24" s="589"/>
      <c r="H24" s="589">
        <f>F24/4</f>
        <v>4900</v>
      </c>
      <c r="I24" s="589"/>
      <c r="J24" s="589">
        <f>J21-J22-J23</f>
        <v>5930</v>
      </c>
      <c r="K24" s="589"/>
      <c r="L24" s="599">
        <f t="shared" si="0"/>
        <v>1030</v>
      </c>
      <c r="M24" s="599"/>
      <c r="N24" s="604">
        <f t="shared" si="1"/>
        <v>121.02040816326532</v>
      </c>
      <c r="O24" s="605"/>
    </row>
    <row r="25" spans="1:15" s="2" customFormat="1" ht="34.5" customHeight="1">
      <c r="A25" s="267" t="s">
        <v>210</v>
      </c>
      <c r="B25" s="587">
        <f>B17/B13/3*1000</f>
        <v>7064.0096618357484</v>
      </c>
      <c r="C25" s="587"/>
      <c r="D25" s="587">
        <f>D17/D13/3*1000</f>
        <v>8623.2492997198879</v>
      </c>
      <c r="E25" s="587"/>
      <c r="F25" s="587">
        <f>F17/F13/12*1000</f>
        <v>7530.8641975308637</v>
      </c>
      <c r="G25" s="587"/>
      <c r="H25" s="606">
        <f>H17/H13/3*1000</f>
        <v>7530.8641975308637</v>
      </c>
      <c r="I25" s="606"/>
      <c r="J25" s="587">
        <f>J17/J13/3*1000</f>
        <v>9910.9704641350218</v>
      </c>
      <c r="K25" s="587"/>
      <c r="L25" s="600">
        <f t="shared" si="0"/>
        <v>2380.106266604158</v>
      </c>
      <c r="M25" s="600"/>
      <c r="N25" s="601">
        <f t="shared" si="1"/>
        <v>131.60468976966177</v>
      </c>
      <c r="O25" s="602"/>
    </row>
    <row r="26" spans="1:15" s="2" customFormat="1" ht="24" customHeight="1">
      <c r="A26" s="268" t="s">
        <v>208</v>
      </c>
      <c r="B26" s="588">
        <v>28250</v>
      </c>
      <c r="C26" s="588"/>
      <c r="D26" s="585">
        <f>D18/D14/3*1000</f>
        <v>29666.666666666668</v>
      </c>
      <c r="E26" s="585"/>
      <c r="F26" s="585">
        <f>F18/F14/12*1000</f>
        <v>28250</v>
      </c>
      <c r="G26" s="585"/>
      <c r="H26" s="585">
        <f>H18/H14/3*1000</f>
        <v>28250</v>
      </c>
      <c r="I26" s="585"/>
      <c r="J26" s="560">
        <f>J18/J14/3*1000</f>
        <v>22333.333333333332</v>
      </c>
      <c r="K26" s="561"/>
      <c r="L26" s="559">
        <f t="shared" si="0"/>
        <v>-5916.6666666666679</v>
      </c>
      <c r="M26" s="559"/>
      <c r="N26" s="558">
        <f t="shared" si="1"/>
        <v>79.056047197640112</v>
      </c>
      <c r="O26" s="603"/>
    </row>
    <row r="27" spans="1:15" s="2" customFormat="1" ht="36" customHeight="1">
      <c r="A27" s="268" t="s">
        <v>207</v>
      </c>
      <c r="B27" s="588">
        <v>12396</v>
      </c>
      <c r="C27" s="588"/>
      <c r="D27" s="585">
        <f>D19/D15/3*1000</f>
        <v>15492.753623188406</v>
      </c>
      <c r="E27" s="585"/>
      <c r="F27" s="585">
        <f>F19/F15/12*1000</f>
        <v>13768.518518518518</v>
      </c>
      <c r="G27" s="585"/>
      <c r="H27" s="585">
        <f>H19/H15/3*1000</f>
        <v>13768.518518518518</v>
      </c>
      <c r="I27" s="585"/>
      <c r="J27" s="560">
        <f>J19/J15/3*1000</f>
        <v>21260.869565217392</v>
      </c>
      <c r="K27" s="561"/>
      <c r="L27" s="559">
        <f t="shared" si="0"/>
        <v>7492.3510466988737</v>
      </c>
      <c r="M27" s="559"/>
      <c r="N27" s="558">
        <f t="shared" si="1"/>
        <v>154.41653752814247</v>
      </c>
      <c r="O27" s="603"/>
    </row>
    <row r="28" spans="1:15" s="2" customFormat="1" ht="25.5" customHeight="1" thickBot="1">
      <c r="A28" s="269" t="s">
        <v>209</v>
      </c>
      <c r="B28" s="590">
        <f t="shared" ref="B28" si="5">B20/B16/3*1000</f>
        <v>6373.8191632928465</v>
      </c>
      <c r="C28" s="590"/>
      <c r="D28" s="589">
        <f>D20/D16/3*1000</f>
        <v>7786.604361370717</v>
      </c>
      <c r="E28" s="589"/>
      <c r="F28" s="589">
        <f>F20/F16/12*1000</f>
        <v>6749.3112947658401</v>
      </c>
      <c r="G28" s="589"/>
      <c r="H28" s="590">
        <f>H20/H16/3*1000</f>
        <v>6749.3112947658401</v>
      </c>
      <c r="I28" s="590"/>
      <c r="J28" s="597">
        <f>J20/J16/3*1000</f>
        <v>8627.0735524256652</v>
      </c>
      <c r="K28" s="598"/>
      <c r="L28" s="599">
        <f t="shared" si="0"/>
        <v>1877.7622576598251</v>
      </c>
      <c r="M28" s="599"/>
      <c r="N28" s="604">
        <f t="shared" si="1"/>
        <v>127.82153875634761</v>
      </c>
      <c r="O28" s="605"/>
    </row>
    <row r="29" spans="1:15" s="2" customFormat="1" ht="36.75" customHeight="1">
      <c r="A29" s="266" t="s">
        <v>211</v>
      </c>
      <c r="B29" s="582">
        <f>B21/B13/3*1000</f>
        <v>7064.0096618357484</v>
      </c>
      <c r="C29" s="582"/>
      <c r="D29" s="588">
        <f>D21/D13/3*1000</f>
        <v>8623.2492997198879</v>
      </c>
      <c r="E29" s="588"/>
      <c r="F29" s="595">
        <f>F21/F13/12*1000</f>
        <v>7530.8641975308637</v>
      </c>
      <c r="G29" s="596"/>
      <c r="H29" s="582">
        <f>H21/H13/3*1000</f>
        <v>7530.8641975308637</v>
      </c>
      <c r="I29" s="582"/>
      <c r="J29" s="591">
        <f>J21/J13/3*1000</f>
        <v>10497.890295358649</v>
      </c>
      <c r="K29" s="592"/>
      <c r="L29" s="593">
        <f t="shared" si="0"/>
        <v>2967.0260978277856</v>
      </c>
      <c r="M29" s="593"/>
      <c r="N29" s="594">
        <f t="shared" si="1"/>
        <v>139.39821539738534</v>
      </c>
      <c r="O29" s="594"/>
    </row>
    <row r="30" spans="1:15" s="2" customFormat="1" ht="24.75" customHeight="1">
      <c r="A30" s="7" t="s">
        <v>208</v>
      </c>
      <c r="B30" s="582">
        <v>28250</v>
      </c>
      <c r="C30" s="582"/>
      <c r="D30" s="582">
        <f>D22/D14/3*1000</f>
        <v>29666.666666666668</v>
      </c>
      <c r="E30" s="582"/>
      <c r="F30" s="595">
        <f>F22/F14/12*1000</f>
        <v>28250</v>
      </c>
      <c r="G30" s="596"/>
      <c r="H30" s="582">
        <f>H22/H14/3*1000</f>
        <v>28250</v>
      </c>
      <c r="I30" s="582"/>
      <c r="J30" s="560">
        <f>J22/J14/3*1000</f>
        <v>22333.333333333332</v>
      </c>
      <c r="K30" s="561"/>
      <c r="L30" s="559">
        <f t="shared" si="0"/>
        <v>-5916.6666666666679</v>
      </c>
      <c r="M30" s="559"/>
      <c r="N30" s="558">
        <f t="shared" si="1"/>
        <v>79.056047197640112</v>
      </c>
      <c r="O30" s="558"/>
    </row>
    <row r="31" spans="1:15" s="2" customFormat="1" ht="34.5" customHeight="1">
      <c r="A31" s="7" t="s">
        <v>207</v>
      </c>
      <c r="B31" s="582">
        <v>12396</v>
      </c>
      <c r="C31" s="582"/>
      <c r="D31" s="582">
        <f>D23/D15/3*1000</f>
        <v>15492.753623188406</v>
      </c>
      <c r="E31" s="582"/>
      <c r="F31" s="595">
        <f>F23/F15/12*1000</f>
        <v>13768.518518518518</v>
      </c>
      <c r="G31" s="596"/>
      <c r="H31" s="582">
        <f>H23/H15/3*1000</f>
        <v>13768.518518518518</v>
      </c>
      <c r="I31" s="582"/>
      <c r="J31" s="560">
        <f>J23/J15/3*1000</f>
        <v>21260.869565217392</v>
      </c>
      <c r="K31" s="561"/>
      <c r="L31" s="559">
        <f t="shared" si="0"/>
        <v>7492.3510466988737</v>
      </c>
      <c r="M31" s="559"/>
      <c r="N31" s="558">
        <f t="shared" si="1"/>
        <v>154.41653752814247</v>
      </c>
      <c r="O31" s="558"/>
    </row>
    <row r="32" spans="1:15" s="2" customFormat="1" ht="24" customHeight="1">
      <c r="A32" s="7" t="s">
        <v>209</v>
      </c>
      <c r="B32" s="582">
        <f t="shared" ref="B32" si="6">B24/B16/3*1000</f>
        <v>6373.8191632928465</v>
      </c>
      <c r="C32" s="582"/>
      <c r="D32" s="582">
        <f>D24/D16/3*1000</f>
        <v>7786.604361370717</v>
      </c>
      <c r="E32" s="582"/>
      <c r="F32" s="595">
        <f>F24/F16/12*1000</f>
        <v>6749.3112947658401</v>
      </c>
      <c r="G32" s="596"/>
      <c r="H32" s="582">
        <f>H24/H16/3*1000</f>
        <v>6749.3112947658401</v>
      </c>
      <c r="I32" s="582"/>
      <c r="J32" s="560">
        <f>J24/J16/3*1000</f>
        <v>9280.1251956181532</v>
      </c>
      <c r="K32" s="561"/>
      <c r="L32" s="559">
        <f t="shared" si="0"/>
        <v>2530.8139008523131</v>
      </c>
      <c r="M32" s="559"/>
      <c r="N32" s="558">
        <f t="shared" si="1"/>
        <v>137.49736514324042</v>
      </c>
      <c r="O32" s="558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581" t="s">
        <v>252</v>
      </c>
      <c r="B34" s="581"/>
      <c r="C34" s="581"/>
      <c r="D34" s="581"/>
      <c r="E34" s="581"/>
      <c r="F34" s="581"/>
      <c r="G34" s="581"/>
      <c r="H34" s="581"/>
      <c r="I34" s="581"/>
      <c r="J34" s="581"/>
      <c r="K34" s="581"/>
      <c r="L34" s="581"/>
      <c r="M34" s="581"/>
      <c r="N34" s="581"/>
      <c r="O34" s="581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628" t="s">
        <v>169</v>
      </c>
      <c r="N36" s="628"/>
      <c r="O36" s="628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629" t="s">
        <v>204</v>
      </c>
      <c r="N37" s="629"/>
      <c r="O37" s="629"/>
    </row>
    <row r="38" spans="1:15" ht="22.5" customHeight="1" collapsed="1">
      <c r="A38" s="572" t="s">
        <v>275</v>
      </c>
      <c r="B38" s="572"/>
      <c r="C38" s="572"/>
      <c r="D38" s="572"/>
      <c r="E38" s="572"/>
      <c r="F38" s="572"/>
      <c r="G38" s="572"/>
      <c r="H38" s="572"/>
      <c r="I38" s="572"/>
      <c r="J38" s="572"/>
    </row>
    <row r="39" spans="1:15" ht="6" customHeight="1">
      <c r="A39" s="16"/>
    </row>
    <row r="40" spans="1:15" ht="20.25" customHeight="1">
      <c r="A40" s="624" t="s">
        <v>200</v>
      </c>
      <c r="B40" s="625"/>
      <c r="C40" s="525"/>
      <c r="D40" s="617" t="s">
        <v>170</v>
      </c>
      <c r="E40" s="617"/>
      <c r="F40" s="617"/>
      <c r="G40" s="617" t="s">
        <v>166</v>
      </c>
      <c r="H40" s="617"/>
      <c r="I40" s="617"/>
      <c r="J40" s="617" t="s">
        <v>205</v>
      </c>
      <c r="K40" s="617"/>
      <c r="L40" s="617"/>
      <c r="M40" s="630" t="s">
        <v>206</v>
      </c>
      <c r="N40" s="631"/>
      <c r="O40" s="632"/>
    </row>
    <row r="41" spans="1:15" ht="149.25" customHeight="1">
      <c r="A41" s="626"/>
      <c r="B41" s="627"/>
      <c r="C41" s="526"/>
      <c r="D41" s="90" t="s">
        <v>494</v>
      </c>
      <c r="E41" s="90" t="s">
        <v>495</v>
      </c>
      <c r="F41" s="90" t="s">
        <v>224</v>
      </c>
      <c r="G41" s="90" t="s">
        <v>223</v>
      </c>
      <c r="H41" s="90" t="s">
        <v>222</v>
      </c>
      <c r="I41" s="90" t="s">
        <v>224</v>
      </c>
      <c r="J41" s="90" t="s">
        <v>223</v>
      </c>
      <c r="K41" s="90" t="s">
        <v>222</v>
      </c>
      <c r="L41" s="90" t="s">
        <v>224</v>
      </c>
      <c r="M41" s="90" t="s">
        <v>338</v>
      </c>
      <c r="N41" s="188" t="s">
        <v>255</v>
      </c>
      <c r="O41" s="90" t="s">
        <v>337</v>
      </c>
    </row>
    <row r="42" spans="1:15" ht="13.5" customHeight="1">
      <c r="A42" s="614">
        <v>1</v>
      </c>
      <c r="B42" s="615"/>
      <c r="C42" s="616"/>
      <c r="D42" s="89">
        <v>4</v>
      </c>
      <c r="E42" s="89">
        <v>5</v>
      </c>
      <c r="F42" s="89">
        <v>6</v>
      </c>
      <c r="G42" s="89">
        <v>7</v>
      </c>
      <c r="H42" s="91">
        <v>8</v>
      </c>
      <c r="I42" s="91">
        <v>9</v>
      </c>
      <c r="J42" s="91">
        <v>10</v>
      </c>
      <c r="K42" s="91">
        <v>11</v>
      </c>
      <c r="L42" s="91">
        <v>12</v>
      </c>
      <c r="M42" s="91">
        <v>13</v>
      </c>
      <c r="N42" s="91">
        <v>14</v>
      </c>
      <c r="O42" s="91">
        <v>15</v>
      </c>
    </row>
    <row r="43" spans="1:15" ht="33" customHeight="1">
      <c r="A43" s="569" t="s">
        <v>499</v>
      </c>
      <c r="B43" s="570"/>
      <c r="C43" s="571"/>
      <c r="D43" s="329">
        <v>896931</v>
      </c>
      <c r="E43" s="330">
        <f>F43/D43*1000/3</f>
        <v>4.2571093354263967</v>
      </c>
      <c r="F43" s="321">
        <f>'Осн фін показн (кварт)'!E13</f>
        <v>11455</v>
      </c>
      <c r="G43" s="329">
        <v>896931</v>
      </c>
      <c r="H43" s="330">
        <f>I43/G43*1000/3</f>
        <v>4.263798813212313</v>
      </c>
      <c r="I43" s="321">
        <f>I47-I45-I46</f>
        <v>11473</v>
      </c>
      <c r="J43" s="83"/>
      <c r="K43" s="83"/>
      <c r="L43" s="84">
        <f>I43-F43</f>
        <v>18</v>
      </c>
      <c r="M43" s="177"/>
      <c r="N43" s="177"/>
      <c r="O43" s="87"/>
    </row>
    <row r="44" spans="1:15" ht="20.100000000000001" customHeight="1">
      <c r="A44" s="569" t="s">
        <v>498</v>
      </c>
      <c r="B44" s="570"/>
      <c r="C44" s="571"/>
      <c r="D44" s="329"/>
      <c r="E44" s="329"/>
      <c r="F44" s="321"/>
      <c r="G44" s="329"/>
      <c r="H44" s="329"/>
      <c r="I44" s="321"/>
      <c r="J44" s="83"/>
      <c r="K44" s="83"/>
      <c r="L44" s="84">
        <f>I44-F44</f>
        <v>0</v>
      </c>
      <c r="M44" s="177"/>
      <c r="N44" s="177"/>
      <c r="O44" s="87"/>
    </row>
    <row r="45" spans="1:15" ht="20.100000000000001" customHeight="1">
      <c r="A45" s="569" t="s">
        <v>496</v>
      </c>
      <c r="B45" s="570"/>
      <c r="C45" s="571"/>
      <c r="D45" s="329"/>
      <c r="E45" s="329"/>
      <c r="F45" s="321"/>
      <c r="G45" s="329"/>
      <c r="H45" s="329"/>
      <c r="I45" s="321">
        <v>895</v>
      </c>
      <c r="J45" s="83"/>
      <c r="K45" s="83"/>
      <c r="L45" s="84">
        <f>I45-F45</f>
        <v>895</v>
      </c>
      <c r="M45" s="177"/>
      <c r="N45" s="177"/>
      <c r="O45" s="87"/>
    </row>
    <row r="46" spans="1:15" ht="20.100000000000001" customHeight="1">
      <c r="A46" s="569" t="s">
        <v>505</v>
      </c>
      <c r="B46" s="570"/>
      <c r="C46" s="571"/>
      <c r="D46" s="329"/>
      <c r="E46" s="329"/>
      <c r="F46" s="321"/>
      <c r="G46" s="329"/>
      <c r="H46" s="329"/>
      <c r="I46" s="321">
        <v>140</v>
      </c>
      <c r="J46" s="83"/>
      <c r="K46" s="83"/>
      <c r="L46" s="84">
        <f>I46-F46</f>
        <v>140</v>
      </c>
      <c r="M46" s="177"/>
      <c r="N46" s="177"/>
      <c r="O46" s="87"/>
    </row>
    <row r="47" spans="1:15" ht="20.100000000000001" customHeight="1">
      <c r="A47" s="611" t="s">
        <v>49</v>
      </c>
      <c r="B47" s="612"/>
      <c r="C47" s="613"/>
      <c r="D47" s="329"/>
      <c r="E47" s="329"/>
      <c r="F47" s="329">
        <f>SUM(F43:F46)</f>
        <v>11455</v>
      </c>
      <c r="G47" s="329"/>
      <c r="H47" s="329"/>
      <c r="I47" s="329">
        <f>'Осн фін показн (кварт)'!F13</f>
        <v>12508</v>
      </c>
      <c r="J47" s="83"/>
      <c r="K47" s="83"/>
      <c r="L47" s="84">
        <f>I47-F47</f>
        <v>1053</v>
      </c>
      <c r="M47" s="177"/>
      <c r="N47" s="177"/>
      <c r="O47" s="87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572" t="s">
        <v>276</v>
      </c>
      <c r="B49" s="572"/>
      <c r="C49" s="572"/>
      <c r="D49" s="572"/>
      <c r="E49" s="572"/>
      <c r="F49" s="572"/>
      <c r="G49" s="572"/>
      <c r="H49" s="572"/>
      <c r="I49" s="572"/>
      <c r="J49" s="572"/>
      <c r="K49" s="572"/>
      <c r="L49" s="572"/>
      <c r="M49" s="572"/>
      <c r="N49" s="572"/>
      <c r="O49" s="572"/>
    </row>
    <row r="50" spans="1:15" ht="9" customHeight="1">
      <c r="A50" s="16"/>
    </row>
    <row r="51" spans="1:15" ht="75" customHeight="1">
      <c r="A51" s="6" t="s">
        <v>91</v>
      </c>
      <c r="B51" s="510" t="s">
        <v>65</v>
      </c>
      <c r="C51" s="510"/>
      <c r="D51" s="510" t="s">
        <v>60</v>
      </c>
      <c r="E51" s="510"/>
      <c r="F51" s="510" t="s">
        <v>61</v>
      </c>
      <c r="G51" s="510"/>
      <c r="H51" s="510" t="s">
        <v>75</v>
      </c>
      <c r="I51" s="510"/>
      <c r="J51" s="510"/>
      <c r="K51" s="569" t="s">
        <v>73</v>
      </c>
      <c r="L51" s="571"/>
      <c r="M51" s="569" t="s">
        <v>29</v>
      </c>
      <c r="N51" s="570"/>
      <c r="O51" s="571"/>
    </row>
    <row r="52" spans="1:15" ht="12.75" customHeight="1">
      <c r="A52" s="91">
        <v>1</v>
      </c>
      <c r="B52" s="619">
        <v>2</v>
      </c>
      <c r="C52" s="619"/>
      <c r="D52" s="619">
        <v>3</v>
      </c>
      <c r="E52" s="619"/>
      <c r="F52" s="619">
        <v>4</v>
      </c>
      <c r="G52" s="619"/>
      <c r="H52" s="619">
        <v>5</v>
      </c>
      <c r="I52" s="619"/>
      <c r="J52" s="619"/>
      <c r="K52" s="619">
        <v>6</v>
      </c>
      <c r="L52" s="619"/>
      <c r="M52" s="566">
        <v>7</v>
      </c>
      <c r="N52" s="567"/>
      <c r="O52" s="568"/>
    </row>
    <row r="53" spans="1:15" ht="20.100000000000001" customHeight="1">
      <c r="A53" s="65"/>
      <c r="B53" s="633"/>
      <c r="C53" s="633"/>
      <c r="D53" s="565"/>
      <c r="E53" s="565"/>
      <c r="F53" s="618" t="s">
        <v>179</v>
      </c>
      <c r="G53" s="618"/>
      <c r="H53" s="573"/>
      <c r="I53" s="573"/>
      <c r="J53" s="573"/>
      <c r="K53" s="560"/>
      <c r="L53" s="561"/>
      <c r="M53" s="565"/>
      <c r="N53" s="565"/>
      <c r="O53" s="565"/>
    </row>
    <row r="54" spans="1:15" ht="20.100000000000001" customHeight="1">
      <c r="A54" s="65"/>
      <c r="B54" s="576"/>
      <c r="C54" s="577"/>
      <c r="D54" s="562"/>
      <c r="E54" s="564"/>
      <c r="F54" s="583"/>
      <c r="G54" s="584"/>
      <c r="H54" s="578"/>
      <c r="I54" s="579"/>
      <c r="J54" s="580"/>
      <c r="K54" s="560"/>
      <c r="L54" s="561"/>
      <c r="M54" s="562"/>
      <c r="N54" s="563"/>
      <c r="O54" s="564"/>
    </row>
    <row r="55" spans="1:15" ht="20.100000000000001" customHeight="1">
      <c r="A55" s="65"/>
      <c r="B55" s="574"/>
      <c r="C55" s="575"/>
      <c r="D55" s="562"/>
      <c r="E55" s="564"/>
      <c r="F55" s="583"/>
      <c r="G55" s="584"/>
      <c r="H55" s="578"/>
      <c r="I55" s="579"/>
      <c r="J55" s="580"/>
      <c r="K55" s="560"/>
      <c r="L55" s="561"/>
      <c r="M55" s="562"/>
      <c r="N55" s="563"/>
      <c r="O55" s="564"/>
    </row>
    <row r="56" spans="1:15" ht="20.100000000000001" customHeight="1">
      <c r="A56" s="31" t="s">
        <v>49</v>
      </c>
      <c r="B56" s="507" t="s">
        <v>30</v>
      </c>
      <c r="C56" s="507"/>
      <c r="D56" s="507" t="s">
        <v>30</v>
      </c>
      <c r="E56" s="507"/>
      <c r="F56" s="507" t="s">
        <v>30</v>
      </c>
      <c r="G56" s="507"/>
      <c r="H56" s="573"/>
      <c r="I56" s="573"/>
      <c r="J56" s="573"/>
      <c r="K56" s="622">
        <f>SUM(K53:L55)</f>
        <v>0</v>
      </c>
      <c r="L56" s="623"/>
      <c r="M56" s="565"/>
      <c r="N56" s="565"/>
      <c r="O56" s="565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572" t="s">
        <v>277</v>
      </c>
      <c r="B58" s="572"/>
      <c r="C58" s="572"/>
      <c r="D58" s="572"/>
      <c r="E58" s="572"/>
      <c r="F58" s="572"/>
      <c r="G58" s="572"/>
      <c r="H58" s="572"/>
      <c r="I58" s="572"/>
      <c r="J58" s="572"/>
      <c r="K58" s="572"/>
      <c r="L58" s="572"/>
      <c r="M58" s="572"/>
      <c r="N58" s="572"/>
      <c r="O58" s="572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510" t="s">
        <v>59</v>
      </c>
      <c r="B60" s="510"/>
      <c r="C60" s="510"/>
      <c r="D60" s="510" t="s">
        <v>171</v>
      </c>
      <c r="E60" s="510"/>
      <c r="F60" s="510" t="s">
        <v>172</v>
      </c>
      <c r="G60" s="510"/>
      <c r="H60" s="510"/>
      <c r="I60" s="510"/>
      <c r="J60" s="510" t="s">
        <v>175</v>
      </c>
      <c r="K60" s="510"/>
      <c r="L60" s="510"/>
      <c r="M60" s="510"/>
      <c r="N60" s="510" t="s">
        <v>176</v>
      </c>
      <c r="O60" s="510"/>
    </row>
    <row r="61" spans="1:15" ht="33" customHeight="1">
      <c r="A61" s="510"/>
      <c r="B61" s="510"/>
      <c r="C61" s="510"/>
      <c r="D61" s="510"/>
      <c r="E61" s="510"/>
      <c r="F61" s="507" t="s">
        <v>173</v>
      </c>
      <c r="G61" s="507"/>
      <c r="H61" s="510" t="s">
        <v>174</v>
      </c>
      <c r="I61" s="510"/>
      <c r="J61" s="507" t="s">
        <v>173</v>
      </c>
      <c r="K61" s="507"/>
      <c r="L61" s="510" t="s">
        <v>174</v>
      </c>
      <c r="M61" s="510"/>
      <c r="N61" s="510"/>
      <c r="O61" s="510"/>
    </row>
    <row r="62" spans="1:15" ht="12.75" customHeight="1">
      <c r="A62" s="508">
        <v>1</v>
      </c>
      <c r="B62" s="508"/>
      <c r="C62" s="508"/>
      <c r="D62" s="614">
        <v>2</v>
      </c>
      <c r="E62" s="616"/>
      <c r="F62" s="614">
        <v>3</v>
      </c>
      <c r="G62" s="616"/>
      <c r="H62" s="566">
        <v>4</v>
      </c>
      <c r="I62" s="568"/>
      <c r="J62" s="566">
        <v>5</v>
      </c>
      <c r="K62" s="568"/>
      <c r="L62" s="566">
        <v>6</v>
      </c>
      <c r="M62" s="568"/>
      <c r="N62" s="566">
        <v>7</v>
      </c>
      <c r="O62" s="568"/>
    </row>
    <row r="63" spans="1:15" ht="21.95" customHeight="1">
      <c r="A63" s="620" t="s">
        <v>219</v>
      </c>
      <c r="B63" s="620"/>
      <c r="C63" s="620"/>
      <c r="D63" s="560"/>
      <c r="E63" s="561"/>
      <c r="F63" s="560"/>
      <c r="G63" s="561"/>
      <c r="H63" s="560"/>
      <c r="I63" s="561"/>
      <c r="J63" s="560"/>
      <c r="K63" s="561"/>
      <c r="L63" s="560"/>
      <c r="M63" s="561"/>
      <c r="N63" s="560"/>
      <c r="O63" s="561"/>
    </row>
    <row r="64" spans="1:15" ht="13.5" customHeight="1">
      <c r="A64" s="621" t="s">
        <v>85</v>
      </c>
      <c r="B64" s="621"/>
      <c r="C64" s="621"/>
      <c r="D64" s="560"/>
      <c r="E64" s="561"/>
      <c r="F64" s="560"/>
      <c r="G64" s="561"/>
      <c r="H64" s="560"/>
      <c r="I64" s="561"/>
      <c r="J64" s="560"/>
      <c r="K64" s="561"/>
      <c r="L64" s="560"/>
      <c r="M64" s="561"/>
      <c r="N64" s="560"/>
      <c r="O64" s="561"/>
    </row>
    <row r="65" spans="1:15" ht="21.95" customHeight="1">
      <c r="A65" s="620"/>
      <c r="B65" s="620"/>
      <c r="C65" s="620"/>
      <c r="D65" s="560"/>
      <c r="E65" s="561"/>
      <c r="F65" s="560"/>
      <c r="G65" s="561"/>
      <c r="H65" s="560"/>
      <c r="I65" s="561"/>
      <c r="J65" s="560"/>
      <c r="K65" s="561"/>
      <c r="L65" s="560"/>
      <c r="M65" s="561"/>
      <c r="N65" s="560"/>
      <c r="O65" s="561"/>
    </row>
    <row r="66" spans="1:15" ht="21.95" customHeight="1">
      <c r="A66" s="620" t="s">
        <v>220</v>
      </c>
      <c r="B66" s="620"/>
      <c r="C66" s="620"/>
      <c r="D66" s="560"/>
      <c r="E66" s="561"/>
      <c r="F66" s="560"/>
      <c r="G66" s="561"/>
      <c r="H66" s="560"/>
      <c r="I66" s="561"/>
      <c r="J66" s="560"/>
      <c r="K66" s="561"/>
      <c r="L66" s="560"/>
      <c r="M66" s="561"/>
      <c r="N66" s="560"/>
      <c r="O66" s="561"/>
    </row>
    <row r="67" spans="1:15" ht="13.5" customHeight="1">
      <c r="A67" s="621" t="s">
        <v>261</v>
      </c>
      <c r="B67" s="621"/>
      <c r="C67" s="621"/>
      <c r="D67" s="560"/>
      <c r="E67" s="561"/>
      <c r="F67" s="560"/>
      <c r="G67" s="561"/>
      <c r="H67" s="560"/>
      <c r="I67" s="561"/>
      <c r="J67" s="560"/>
      <c r="K67" s="561"/>
      <c r="L67" s="560"/>
      <c r="M67" s="561"/>
      <c r="N67" s="560"/>
      <c r="O67" s="561"/>
    </row>
    <row r="68" spans="1:15" ht="21.95" customHeight="1">
      <c r="A68" s="620"/>
      <c r="B68" s="620"/>
      <c r="C68" s="620"/>
      <c r="D68" s="560"/>
      <c r="E68" s="561"/>
      <c r="F68" s="560"/>
      <c r="G68" s="561"/>
      <c r="H68" s="560"/>
      <c r="I68" s="561"/>
      <c r="J68" s="560"/>
      <c r="K68" s="561"/>
      <c r="L68" s="560"/>
      <c r="M68" s="561"/>
      <c r="N68" s="560"/>
      <c r="O68" s="561"/>
    </row>
    <row r="69" spans="1:15" ht="21.95" customHeight="1">
      <c r="A69" s="620" t="s">
        <v>221</v>
      </c>
      <c r="B69" s="620"/>
      <c r="C69" s="620"/>
      <c r="D69" s="560"/>
      <c r="E69" s="561"/>
      <c r="F69" s="560"/>
      <c r="G69" s="561"/>
      <c r="H69" s="560"/>
      <c r="I69" s="561"/>
      <c r="J69" s="560"/>
      <c r="K69" s="561"/>
      <c r="L69" s="560"/>
      <c r="M69" s="561"/>
      <c r="N69" s="560"/>
      <c r="O69" s="561"/>
    </row>
    <row r="70" spans="1:15" ht="12.75" customHeight="1">
      <c r="A70" s="621" t="s">
        <v>85</v>
      </c>
      <c r="B70" s="621"/>
      <c r="C70" s="621"/>
      <c r="D70" s="560"/>
      <c r="E70" s="561"/>
      <c r="F70" s="560"/>
      <c r="G70" s="561"/>
      <c r="H70" s="560"/>
      <c r="I70" s="561"/>
      <c r="J70" s="560"/>
      <c r="K70" s="561"/>
      <c r="L70" s="560"/>
      <c r="M70" s="561"/>
      <c r="N70" s="560"/>
      <c r="O70" s="561"/>
    </row>
    <row r="71" spans="1:15" ht="21.95" customHeight="1">
      <c r="A71" s="620" t="s">
        <v>528</v>
      </c>
      <c r="B71" s="620"/>
      <c r="C71" s="620"/>
      <c r="D71" s="560"/>
      <c r="E71" s="561"/>
      <c r="F71" s="560"/>
      <c r="G71" s="561"/>
      <c r="H71" s="560"/>
      <c r="I71" s="561"/>
      <c r="J71" s="560"/>
      <c r="K71" s="561"/>
      <c r="L71" s="560"/>
      <c r="M71" s="561"/>
      <c r="N71" s="560"/>
      <c r="O71" s="561"/>
    </row>
    <row r="72" spans="1:15" ht="21.95" customHeight="1">
      <c r="A72" s="620" t="s">
        <v>49</v>
      </c>
      <c r="B72" s="620"/>
      <c r="C72" s="620"/>
      <c r="D72" s="560"/>
      <c r="E72" s="561"/>
      <c r="F72" s="560"/>
      <c r="G72" s="561"/>
      <c r="H72" s="560"/>
      <c r="I72" s="561"/>
      <c r="J72" s="560"/>
      <c r="K72" s="561"/>
      <c r="L72" s="560"/>
      <c r="M72" s="561"/>
      <c r="N72" s="560"/>
      <c r="O72" s="561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F53:G53"/>
    <mergeCell ref="K52:L52"/>
    <mergeCell ref="H31:I31"/>
    <mergeCell ref="L30:M30"/>
    <mergeCell ref="L31:M31"/>
    <mergeCell ref="H52:J52"/>
    <mergeCell ref="H30:I30"/>
    <mergeCell ref="F30:G30"/>
    <mergeCell ref="F31:G31"/>
    <mergeCell ref="H32:I32"/>
    <mergeCell ref="A47:C47"/>
    <mergeCell ref="A42:C42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AF99"/>
  <sheetViews>
    <sheetView view="pageBreakPreview" topLeftCell="A18" zoomScale="77" zoomScaleNormal="75" zoomScaleSheetLayoutView="77" workbookViewId="0">
      <selection activeCell="U84" sqref="U84:Z84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636" t="s">
        <v>169</v>
      </c>
      <c r="AE1" s="636"/>
      <c r="AF1" s="636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636"/>
      <c r="AE2" s="636"/>
      <c r="AF2" s="636"/>
    </row>
    <row r="3" spans="1:32" ht="20.25" customHeight="1" collapsed="1">
      <c r="A3" s="16"/>
      <c r="B3" s="16"/>
      <c r="C3" s="116" t="s">
        <v>278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</row>
    <row r="4" spans="1:32" ht="9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</row>
    <row r="5" spans="1:32" ht="18" customHeight="1">
      <c r="A5" s="746" t="s">
        <v>45</v>
      </c>
      <c r="B5" s="721" t="s">
        <v>135</v>
      </c>
      <c r="C5" s="723"/>
      <c r="D5" s="624" t="s">
        <v>136</v>
      </c>
      <c r="E5" s="625"/>
      <c r="F5" s="625"/>
      <c r="G5" s="617" t="s">
        <v>251</v>
      </c>
      <c r="H5" s="617"/>
      <c r="I5" s="617"/>
      <c r="J5" s="617"/>
      <c r="K5" s="617"/>
      <c r="L5" s="617"/>
      <c r="M5" s="617"/>
      <c r="N5" s="624" t="s">
        <v>137</v>
      </c>
      <c r="O5" s="625"/>
      <c r="P5" s="625"/>
      <c r="Q5" s="525"/>
      <c r="R5" s="751" t="s">
        <v>212</v>
      </c>
      <c r="S5" s="752"/>
      <c r="T5" s="752"/>
      <c r="U5" s="752"/>
      <c r="V5" s="752"/>
      <c r="W5" s="752"/>
      <c r="X5" s="752"/>
      <c r="Y5" s="752"/>
      <c r="Z5" s="752"/>
      <c r="AA5" s="752"/>
      <c r="AB5" s="752"/>
      <c r="AC5" s="752"/>
      <c r="AD5" s="752"/>
      <c r="AE5" s="752"/>
      <c r="AF5" s="753"/>
    </row>
    <row r="6" spans="1:32" ht="53.25" customHeight="1">
      <c r="A6" s="747"/>
      <c r="B6" s="741"/>
      <c r="C6" s="742"/>
      <c r="D6" s="626"/>
      <c r="E6" s="627"/>
      <c r="F6" s="627"/>
      <c r="G6" s="617"/>
      <c r="H6" s="617"/>
      <c r="I6" s="617"/>
      <c r="J6" s="617"/>
      <c r="K6" s="617"/>
      <c r="L6" s="617"/>
      <c r="M6" s="617"/>
      <c r="N6" s="626"/>
      <c r="O6" s="627"/>
      <c r="P6" s="627"/>
      <c r="Q6" s="526"/>
      <c r="R6" s="630" t="s">
        <v>138</v>
      </c>
      <c r="S6" s="631"/>
      <c r="T6" s="632"/>
      <c r="U6" s="630" t="s">
        <v>139</v>
      </c>
      <c r="V6" s="631"/>
      <c r="W6" s="632"/>
      <c r="X6" s="630" t="s">
        <v>34</v>
      </c>
      <c r="Y6" s="631"/>
      <c r="Z6" s="632"/>
      <c r="AA6" s="751" t="s">
        <v>140</v>
      </c>
      <c r="AB6" s="752"/>
      <c r="AC6" s="753"/>
      <c r="AD6" s="751" t="s">
        <v>141</v>
      </c>
      <c r="AE6" s="752"/>
      <c r="AF6" s="753"/>
    </row>
    <row r="7" spans="1:32" ht="12.75" customHeight="1">
      <c r="A7" s="229">
        <v>1</v>
      </c>
      <c r="B7" s="761">
        <v>2</v>
      </c>
      <c r="C7" s="762"/>
      <c r="D7" s="748">
        <v>3</v>
      </c>
      <c r="E7" s="749"/>
      <c r="F7" s="749"/>
      <c r="G7" s="760">
        <v>4</v>
      </c>
      <c r="H7" s="760"/>
      <c r="I7" s="760"/>
      <c r="J7" s="760"/>
      <c r="K7" s="760"/>
      <c r="L7" s="760"/>
      <c r="M7" s="760"/>
      <c r="N7" s="748">
        <v>5</v>
      </c>
      <c r="O7" s="749"/>
      <c r="P7" s="749"/>
      <c r="Q7" s="750"/>
      <c r="R7" s="754">
        <v>6</v>
      </c>
      <c r="S7" s="755"/>
      <c r="T7" s="756"/>
      <c r="U7" s="754">
        <v>7</v>
      </c>
      <c r="V7" s="755"/>
      <c r="W7" s="756"/>
      <c r="X7" s="757">
        <v>8</v>
      </c>
      <c r="Y7" s="758"/>
      <c r="Z7" s="759"/>
      <c r="AA7" s="757">
        <v>9</v>
      </c>
      <c r="AB7" s="758"/>
      <c r="AC7" s="759"/>
      <c r="AD7" s="757">
        <v>10</v>
      </c>
      <c r="AE7" s="758"/>
      <c r="AF7" s="759"/>
    </row>
    <row r="8" spans="1:32" ht="15" customHeight="1">
      <c r="A8" s="71"/>
      <c r="B8" s="736"/>
      <c r="C8" s="737"/>
      <c r="D8" s="732"/>
      <c r="E8" s="733"/>
      <c r="F8" s="733"/>
      <c r="G8" s="644"/>
      <c r="H8" s="644"/>
      <c r="I8" s="644"/>
      <c r="J8" s="644"/>
      <c r="K8" s="644"/>
      <c r="L8" s="644"/>
      <c r="M8" s="644"/>
      <c r="N8" s="641">
        <f>SUM(R8,U8,X8,AA8,AD8)</f>
        <v>0</v>
      </c>
      <c r="O8" s="727"/>
      <c r="P8" s="727"/>
      <c r="Q8" s="642"/>
      <c r="R8" s="647"/>
      <c r="S8" s="745"/>
      <c r="T8" s="648"/>
      <c r="U8" s="647"/>
      <c r="V8" s="745"/>
      <c r="W8" s="648"/>
      <c r="X8" s="647"/>
      <c r="Y8" s="745"/>
      <c r="Z8" s="648"/>
      <c r="AA8" s="647"/>
      <c r="AB8" s="745"/>
      <c r="AC8" s="648"/>
      <c r="AD8" s="647"/>
      <c r="AE8" s="745"/>
      <c r="AF8" s="648"/>
    </row>
    <row r="9" spans="1:32" ht="15" customHeight="1">
      <c r="A9" s="71"/>
      <c r="B9" s="736"/>
      <c r="C9" s="737"/>
      <c r="D9" s="732"/>
      <c r="E9" s="733"/>
      <c r="F9" s="733"/>
      <c r="G9" s="644"/>
      <c r="H9" s="644"/>
      <c r="I9" s="644"/>
      <c r="J9" s="644"/>
      <c r="K9" s="644"/>
      <c r="L9" s="644"/>
      <c r="M9" s="644"/>
      <c r="N9" s="641">
        <f>SUM(R9,U9,X9,AA9,AD9)</f>
        <v>0</v>
      </c>
      <c r="O9" s="727"/>
      <c r="P9" s="727"/>
      <c r="Q9" s="642"/>
      <c r="R9" s="647"/>
      <c r="S9" s="745"/>
      <c r="T9" s="648"/>
      <c r="U9" s="647"/>
      <c r="V9" s="745"/>
      <c r="W9" s="648"/>
      <c r="X9" s="647"/>
      <c r="Y9" s="745"/>
      <c r="Z9" s="648"/>
      <c r="AA9" s="647"/>
      <c r="AB9" s="745"/>
      <c r="AC9" s="648"/>
      <c r="AD9" s="647"/>
      <c r="AE9" s="745"/>
      <c r="AF9" s="648"/>
    </row>
    <row r="10" spans="1:32" ht="15" customHeight="1">
      <c r="A10" s="71"/>
      <c r="B10" s="736"/>
      <c r="C10" s="737"/>
      <c r="D10" s="732"/>
      <c r="E10" s="733"/>
      <c r="F10" s="733"/>
      <c r="G10" s="644"/>
      <c r="H10" s="644"/>
      <c r="I10" s="644"/>
      <c r="J10" s="644"/>
      <c r="K10" s="644"/>
      <c r="L10" s="644"/>
      <c r="M10" s="644"/>
      <c r="N10" s="641">
        <f>SUM(R10,U10,X10,AA10,AD10)</f>
        <v>0</v>
      </c>
      <c r="O10" s="727"/>
      <c r="P10" s="727"/>
      <c r="Q10" s="642"/>
      <c r="R10" s="647"/>
      <c r="S10" s="745"/>
      <c r="T10" s="648"/>
      <c r="U10" s="647"/>
      <c r="V10" s="745"/>
      <c r="W10" s="648"/>
      <c r="X10" s="647"/>
      <c r="Y10" s="745"/>
      <c r="Z10" s="648"/>
      <c r="AA10" s="647"/>
      <c r="AB10" s="745"/>
      <c r="AC10" s="648"/>
      <c r="AD10" s="647"/>
      <c r="AE10" s="745"/>
      <c r="AF10" s="648"/>
    </row>
    <row r="11" spans="1:32" ht="15" customHeight="1">
      <c r="A11" s="71"/>
      <c r="B11" s="736"/>
      <c r="C11" s="737"/>
      <c r="D11" s="732"/>
      <c r="E11" s="733"/>
      <c r="F11" s="733"/>
      <c r="G11" s="644"/>
      <c r="H11" s="644"/>
      <c r="I11" s="644"/>
      <c r="J11" s="644"/>
      <c r="K11" s="644"/>
      <c r="L11" s="644"/>
      <c r="M11" s="644"/>
      <c r="N11" s="641">
        <f>SUM(R11,U11,X11,AA11,AD11)</f>
        <v>0</v>
      </c>
      <c r="O11" s="727"/>
      <c r="P11" s="727"/>
      <c r="Q11" s="642"/>
      <c r="R11" s="647"/>
      <c r="S11" s="745"/>
      <c r="T11" s="648"/>
      <c r="U11" s="647"/>
      <c r="V11" s="745"/>
      <c r="W11" s="648"/>
      <c r="X11" s="647"/>
      <c r="Y11" s="745"/>
      <c r="Z11" s="648"/>
      <c r="AA11" s="647"/>
      <c r="AB11" s="745"/>
      <c r="AC11" s="648"/>
      <c r="AD11" s="647"/>
      <c r="AE11" s="745"/>
      <c r="AF11" s="648"/>
    </row>
    <row r="12" spans="1:32" ht="15" customHeight="1">
      <c r="A12" s="71"/>
      <c r="B12" s="736"/>
      <c r="C12" s="737"/>
      <c r="D12" s="732"/>
      <c r="E12" s="733"/>
      <c r="F12" s="733"/>
      <c r="G12" s="644"/>
      <c r="H12" s="644"/>
      <c r="I12" s="644"/>
      <c r="J12" s="644"/>
      <c r="K12" s="644"/>
      <c r="L12" s="644"/>
      <c r="M12" s="644"/>
      <c r="N12" s="641">
        <f>SUM(R12,U12,X12,AA12,AD12)</f>
        <v>0</v>
      </c>
      <c r="O12" s="727"/>
      <c r="P12" s="727"/>
      <c r="Q12" s="642"/>
      <c r="R12" s="647"/>
      <c r="S12" s="745"/>
      <c r="T12" s="648"/>
      <c r="U12" s="647"/>
      <c r="V12" s="745"/>
      <c r="W12" s="648"/>
      <c r="X12" s="647"/>
      <c r="Y12" s="745"/>
      <c r="Z12" s="648"/>
      <c r="AA12" s="647"/>
      <c r="AB12" s="745"/>
      <c r="AC12" s="648"/>
      <c r="AD12" s="647"/>
      <c r="AE12" s="745"/>
      <c r="AF12" s="648"/>
    </row>
    <row r="13" spans="1:32" ht="20.25" customHeight="1">
      <c r="A13" s="738" t="s">
        <v>49</v>
      </c>
      <c r="B13" s="739"/>
      <c r="C13" s="739"/>
      <c r="D13" s="739"/>
      <c r="E13" s="739"/>
      <c r="F13" s="739"/>
      <c r="G13" s="739"/>
      <c r="H13" s="739"/>
      <c r="I13" s="739"/>
      <c r="J13" s="739"/>
      <c r="K13" s="739"/>
      <c r="L13" s="739"/>
      <c r="M13" s="740"/>
      <c r="N13" s="641">
        <f>SUM(N8:Q12)</f>
        <v>0</v>
      </c>
      <c r="O13" s="727"/>
      <c r="P13" s="727"/>
      <c r="Q13" s="642"/>
      <c r="R13" s="641">
        <f>SUM(R8:T12)</f>
        <v>0</v>
      </c>
      <c r="S13" s="727"/>
      <c r="T13" s="642"/>
      <c r="U13" s="641">
        <f>SUM(U8:W12)</f>
        <v>0</v>
      </c>
      <c r="V13" s="727"/>
      <c r="W13" s="642"/>
      <c r="X13" s="641">
        <f>SUM(X8:Z12)</f>
        <v>0</v>
      </c>
      <c r="Y13" s="727"/>
      <c r="Z13" s="642"/>
      <c r="AA13" s="641">
        <f>SUM(AA8:AC12)</f>
        <v>0</v>
      </c>
      <c r="AB13" s="727"/>
      <c r="AC13" s="642"/>
      <c r="AD13" s="641">
        <f>SUM(AD8:AF12)</f>
        <v>0</v>
      </c>
      <c r="AE13" s="727"/>
      <c r="AF13" s="642"/>
    </row>
    <row r="14" spans="1:32" ht="7.5" customHeight="1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1"/>
      <c r="AF14" s="121"/>
    </row>
    <row r="15" spans="1:32" s="32" customFormat="1" ht="16.5" customHeight="1">
      <c r="A15" s="116"/>
      <c r="B15" s="116"/>
      <c r="C15" s="116" t="s">
        <v>279</v>
      </c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</row>
    <row r="16" spans="1:32" s="32" customFormat="1" ht="8.25" customHeight="1">
      <c r="A16" s="116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</row>
    <row r="17" spans="1:32" ht="17.25" customHeight="1">
      <c r="A17" s="541" t="s">
        <v>45</v>
      </c>
      <c r="B17" s="721" t="s">
        <v>142</v>
      </c>
      <c r="C17" s="723"/>
      <c r="D17" s="617" t="s">
        <v>135</v>
      </c>
      <c r="E17" s="617"/>
      <c r="F17" s="617"/>
      <c r="G17" s="617"/>
      <c r="H17" s="617" t="s">
        <v>251</v>
      </c>
      <c r="I17" s="617"/>
      <c r="J17" s="617"/>
      <c r="K17" s="617"/>
      <c r="L17" s="617"/>
      <c r="M17" s="617"/>
      <c r="N17" s="617"/>
      <c r="O17" s="617"/>
      <c r="P17" s="617"/>
      <c r="Q17" s="617"/>
      <c r="R17" s="617" t="s">
        <v>143</v>
      </c>
      <c r="S17" s="617"/>
      <c r="T17" s="617"/>
      <c r="U17" s="617"/>
      <c r="V17" s="617"/>
      <c r="W17" s="676" t="s">
        <v>144</v>
      </c>
      <c r="X17" s="676"/>
      <c r="Y17" s="676"/>
      <c r="Z17" s="676"/>
      <c r="AA17" s="676"/>
      <c r="AB17" s="676"/>
      <c r="AC17" s="676"/>
      <c r="AD17" s="676"/>
      <c r="AE17" s="676"/>
      <c r="AF17" s="676"/>
    </row>
    <row r="18" spans="1:32" ht="20.25" customHeight="1">
      <c r="A18" s="541"/>
      <c r="B18" s="724"/>
      <c r="C18" s="726"/>
      <c r="D18" s="617"/>
      <c r="E18" s="617"/>
      <c r="F18" s="617"/>
      <c r="G18" s="617"/>
      <c r="H18" s="617"/>
      <c r="I18" s="617"/>
      <c r="J18" s="617"/>
      <c r="K18" s="617"/>
      <c r="L18" s="617"/>
      <c r="M18" s="617"/>
      <c r="N18" s="617"/>
      <c r="O18" s="617"/>
      <c r="P18" s="617"/>
      <c r="Q18" s="617"/>
      <c r="R18" s="617"/>
      <c r="S18" s="617"/>
      <c r="T18" s="617"/>
      <c r="U18" s="617"/>
      <c r="V18" s="617"/>
      <c r="W18" s="624" t="s">
        <v>217</v>
      </c>
      <c r="X18" s="525"/>
      <c r="Y18" s="624" t="s">
        <v>173</v>
      </c>
      <c r="Z18" s="525"/>
      <c r="AA18" s="624" t="s">
        <v>174</v>
      </c>
      <c r="AB18" s="525"/>
      <c r="AC18" s="624" t="s">
        <v>195</v>
      </c>
      <c r="AD18" s="525"/>
      <c r="AE18" s="624" t="s">
        <v>196</v>
      </c>
      <c r="AF18" s="525"/>
    </row>
    <row r="19" spans="1:32" ht="9" customHeight="1">
      <c r="A19" s="541"/>
      <c r="B19" s="741"/>
      <c r="C19" s="742"/>
      <c r="D19" s="617"/>
      <c r="E19" s="617"/>
      <c r="F19" s="617"/>
      <c r="G19" s="617"/>
      <c r="H19" s="617"/>
      <c r="I19" s="617"/>
      <c r="J19" s="617"/>
      <c r="K19" s="617"/>
      <c r="L19" s="617"/>
      <c r="M19" s="617"/>
      <c r="N19" s="617"/>
      <c r="O19" s="617"/>
      <c r="P19" s="617"/>
      <c r="Q19" s="617"/>
      <c r="R19" s="617"/>
      <c r="S19" s="617"/>
      <c r="T19" s="617"/>
      <c r="U19" s="617"/>
      <c r="V19" s="617"/>
      <c r="W19" s="626"/>
      <c r="X19" s="526"/>
      <c r="Y19" s="626"/>
      <c r="Z19" s="526"/>
      <c r="AA19" s="626"/>
      <c r="AB19" s="526"/>
      <c r="AC19" s="626"/>
      <c r="AD19" s="526"/>
      <c r="AE19" s="626"/>
      <c r="AF19" s="526"/>
    </row>
    <row r="20" spans="1:32" ht="12" customHeight="1">
      <c r="A20" s="105">
        <v>1</v>
      </c>
      <c r="B20" s="743">
        <v>2</v>
      </c>
      <c r="C20" s="744"/>
      <c r="D20" s="508">
        <v>3</v>
      </c>
      <c r="E20" s="508"/>
      <c r="F20" s="508"/>
      <c r="G20" s="508"/>
      <c r="H20" s="508">
        <v>4</v>
      </c>
      <c r="I20" s="508"/>
      <c r="J20" s="508"/>
      <c r="K20" s="508"/>
      <c r="L20" s="508"/>
      <c r="M20" s="508"/>
      <c r="N20" s="508"/>
      <c r="O20" s="508"/>
      <c r="P20" s="508"/>
      <c r="Q20" s="508"/>
      <c r="R20" s="508">
        <v>5</v>
      </c>
      <c r="S20" s="508"/>
      <c r="T20" s="508"/>
      <c r="U20" s="508"/>
      <c r="V20" s="508"/>
      <c r="W20" s="614">
        <v>6</v>
      </c>
      <c r="X20" s="616"/>
      <c r="Y20" s="566">
        <v>7</v>
      </c>
      <c r="Z20" s="568"/>
      <c r="AA20" s="566">
        <v>8</v>
      </c>
      <c r="AB20" s="568"/>
      <c r="AC20" s="566">
        <v>9</v>
      </c>
      <c r="AD20" s="568"/>
      <c r="AE20" s="619">
        <v>10</v>
      </c>
      <c r="AF20" s="619"/>
    </row>
    <row r="21" spans="1:32" ht="15" customHeight="1">
      <c r="A21" s="63"/>
      <c r="B21" s="734"/>
      <c r="C21" s="735"/>
      <c r="D21" s="644"/>
      <c r="E21" s="644"/>
      <c r="F21" s="644"/>
      <c r="G21" s="644"/>
      <c r="H21" s="731"/>
      <c r="I21" s="731"/>
      <c r="J21" s="731"/>
      <c r="K21" s="731"/>
      <c r="L21" s="731"/>
      <c r="M21" s="731"/>
      <c r="N21" s="731"/>
      <c r="O21" s="731"/>
      <c r="P21" s="731"/>
      <c r="Q21" s="731"/>
      <c r="R21" s="728"/>
      <c r="S21" s="728"/>
      <c r="T21" s="728"/>
      <c r="U21" s="728"/>
      <c r="V21" s="728"/>
      <c r="W21" s="647"/>
      <c r="X21" s="648"/>
      <c r="Y21" s="647"/>
      <c r="Z21" s="648"/>
      <c r="AA21" s="647"/>
      <c r="AB21" s="648"/>
      <c r="AC21" s="641">
        <f t="shared" ref="AC21:AC26" si="0">AA21-Y21</f>
        <v>0</v>
      </c>
      <c r="AD21" s="642"/>
      <c r="AE21" s="645"/>
      <c r="AF21" s="646"/>
    </row>
    <row r="22" spans="1:32" ht="15" customHeight="1">
      <c r="A22" s="63"/>
      <c r="B22" s="734"/>
      <c r="C22" s="735"/>
      <c r="D22" s="644"/>
      <c r="E22" s="644"/>
      <c r="F22" s="644"/>
      <c r="G22" s="644"/>
      <c r="H22" s="731"/>
      <c r="I22" s="731"/>
      <c r="J22" s="731"/>
      <c r="K22" s="731"/>
      <c r="L22" s="731"/>
      <c r="M22" s="731"/>
      <c r="N22" s="731"/>
      <c r="O22" s="731"/>
      <c r="P22" s="731"/>
      <c r="Q22" s="731"/>
      <c r="R22" s="728"/>
      <c r="S22" s="728"/>
      <c r="T22" s="728"/>
      <c r="U22" s="728"/>
      <c r="V22" s="728"/>
      <c r="W22" s="647"/>
      <c r="X22" s="648"/>
      <c r="Y22" s="647"/>
      <c r="Z22" s="648"/>
      <c r="AA22" s="647"/>
      <c r="AB22" s="648"/>
      <c r="AC22" s="641">
        <f t="shared" si="0"/>
        <v>0</v>
      </c>
      <c r="AD22" s="642"/>
      <c r="AE22" s="645"/>
      <c r="AF22" s="646"/>
    </row>
    <row r="23" spans="1:32" ht="15" customHeight="1">
      <c r="A23" s="63"/>
      <c r="B23" s="734"/>
      <c r="C23" s="735"/>
      <c r="D23" s="644"/>
      <c r="E23" s="644"/>
      <c r="F23" s="644"/>
      <c r="G23" s="644"/>
      <c r="H23" s="731"/>
      <c r="I23" s="731"/>
      <c r="J23" s="731"/>
      <c r="K23" s="731"/>
      <c r="L23" s="731"/>
      <c r="M23" s="731"/>
      <c r="N23" s="731"/>
      <c r="O23" s="731"/>
      <c r="P23" s="731"/>
      <c r="Q23" s="731"/>
      <c r="R23" s="728"/>
      <c r="S23" s="728"/>
      <c r="T23" s="728"/>
      <c r="U23" s="728"/>
      <c r="V23" s="728"/>
      <c r="W23" s="647"/>
      <c r="X23" s="648"/>
      <c r="Y23" s="647"/>
      <c r="Z23" s="648"/>
      <c r="AA23" s="647"/>
      <c r="AB23" s="648"/>
      <c r="AC23" s="641">
        <f t="shared" si="0"/>
        <v>0</v>
      </c>
      <c r="AD23" s="642"/>
      <c r="AE23" s="645"/>
      <c r="AF23" s="646"/>
    </row>
    <row r="24" spans="1:32" ht="15" customHeight="1">
      <c r="A24" s="63"/>
      <c r="B24" s="734"/>
      <c r="C24" s="735"/>
      <c r="D24" s="644"/>
      <c r="E24" s="644"/>
      <c r="F24" s="644"/>
      <c r="G24" s="644"/>
      <c r="H24" s="731"/>
      <c r="I24" s="731"/>
      <c r="J24" s="731"/>
      <c r="K24" s="731"/>
      <c r="L24" s="731"/>
      <c r="M24" s="731"/>
      <c r="N24" s="731"/>
      <c r="O24" s="731"/>
      <c r="P24" s="731"/>
      <c r="Q24" s="731"/>
      <c r="R24" s="728"/>
      <c r="S24" s="728"/>
      <c r="T24" s="728"/>
      <c r="U24" s="728"/>
      <c r="V24" s="728"/>
      <c r="W24" s="647"/>
      <c r="X24" s="648"/>
      <c r="Y24" s="647"/>
      <c r="Z24" s="648"/>
      <c r="AA24" s="647"/>
      <c r="AB24" s="648"/>
      <c r="AC24" s="641">
        <f t="shared" si="0"/>
        <v>0</v>
      </c>
      <c r="AD24" s="642"/>
      <c r="AE24" s="645"/>
      <c r="AF24" s="646"/>
    </row>
    <row r="25" spans="1:32" ht="15" customHeight="1">
      <c r="A25" s="63"/>
      <c r="B25" s="734"/>
      <c r="C25" s="735"/>
      <c r="D25" s="644"/>
      <c r="E25" s="644"/>
      <c r="F25" s="644"/>
      <c r="G25" s="644"/>
      <c r="H25" s="731"/>
      <c r="I25" s="731"/>
      <c r="J25" s="731"/>
      <c r="K25" s="731"/>
      <c r="L25" s="731"/>
      <c r="M25" s="731"/>
      <c r="N25" s="731"/>
      <c r="O25" s="731"/>
      <c r="P25" s="731"/>
      <c r="Q25" s="731"/>
      <c r="R25" s="728"/>
      <c r="S25" s="728"/>
      <c r="T25" s="728"/>
      <c r="U25" s="728"/>
      <c r="V25" s="728"/>
      <c r="W25" s="647"/>
      <c r="X25" s="648"/>
      <c r="Y25" s="647"/>
      <c r="Z25" s="648"/>
      <c r="AA25" s="647"/>
      <c r="AB25" s="648"/>
      <c r="AC25" s="641">
        <f t="shared" si="0"/>
        <v>0</v>
      </c>
      <c r="AD25" s="642"/>
      <c r="AE25" s="645"/>
      <c r="AF25" s="646"/>
    </row>
    <row r="26" spans="1:32" ht="24.95" customHeight="1">
      <c r="A26" s="729" t="s">
        <v>49</v>
      </c>
      <c r="B26" s="729"/>
      <c r="C26" s="729"/>
      <c r="D26" s="729"/>
      <c r="E26" s="729"/>
      <c r="F26" s="729"/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29"/>
      <c r="R26" s="729"/>
      <c r="S26" s="729"/>
      <c r="T26" s="729"/>
      <c r="U26" s="729"/>
      <c r="V26" s="729"/>
      <c r="W26" s="641">
        <f>SUM(W21:X25)</f>
        <v>0</v>
      </c>
      <c r="X26" s="642"/>
      <c r="Y26" s="641">
        <f>SUM(Y21:Z25)</f>
        <v>0</v>
      </c>
      <c r="Z26" s="642"/>
      <c r="AA26" s="641">
        <f>SUM(AA21:AB25)</f>
        <v>0</v>
      </c>
      <c r="AB26" s="642"/>
      <c r="AC26" s="641">
        <f t="shared" si="0"/>
        <v>0</v>
      </c>
      <c r="AD26" s="642"/>
      <c r="AE26" s="645"/>
      <c r="AF26" s="646"/>
    </row>
    <row r="27" spans="1:32" ht="6" customHeight="1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16"/>
      <c r="R27" s="123"/>
      <c r="S27" s="123"/>
      <c r="T27" s="123"/>
      <c r="U27" s="123"/>
      <c r="V27" s="123"/>
      <c r="W27" s="16"/>
      <c r="X27" s="16"/>
      <c r="Y27" s="16"/>
      <c r="Z27" s="16"/>
      <c r="AA27" s="16"/>
      <c r="AB27" s="16"/>
      <c r="AC27" s="16"/>
      <c r="AD27" s="16"/>
      <c r="AE27" s="16"/>
      <c r="AF27" s="123"/>
    </row>
    <row r="28" spans="1:32" s="32" customFormat="1" ht="15.75" customHeight="1">
      <c r="A28" s="116"/>
      <c r="B28" s="116"/>
      <c r="C28" s="318" t="s">
        <v>280</v>
      </c>
      <c r="D28" s="318"/>
      <c r="E28" s="318"/>
      <c r="F28" s="318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</row>
    <row r="29" spans="1:32" ht="11.25" customHeight="1">
      <c r="A29" s="124"/>
      <c r="B29" s="124"/>
      <c r="C29" s="319"/>
      <c r="D29" s="319"/>
      <c r="E29" s="319"/>
      <c r="F29" s="319"/>
      <c r="G29" s="124"/>
      <c r="H29" s="124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4"/>
      <c r="X29" s="16"/>
      <c r="Y29" s="16"/>
      <c r="Z29" s="767"/>
      <c r="AA29" s="767"/>
      <c r="AB29" s="767"/>
      <c r="AC29" s="16"/>
      <c r="AD29" s="766" t="s">
        <v>165</v>
      </c>
      <c r="AE29" s="766"/>
      <c r="AF29" s="766"/>
    </row>
    <row r="30" spans="1:32" ht="45.75" customHeight="1">
      <c r="A30" s="718" t="s">
        <v>45</v>
      </c>
      <c r="B30" s="721" t="s">
        <v>177</v>
      </c>
      <c r="C30" s="722"/>
      <c r="D30" s="722"/>
      <c r="E30" s="722"/>
      <c r="F30" s="722"/>
      <c r="G30" s="722"/>
      <c r="H30" s="722"/>
      <c r="I30" s="722"/>
      <c r="J30" s="722"/>
      <c r="K30" s="722"/>
      <c r="L30" s="723"/>
      <c r="M30" s="667" t="s">
        <v>48</v>
      </c>
      <c r="N30" s="668"/>
      <c r="O30" s="668"/>
      <c r="P30" s="668"/>
      <c r="Q30" s="668"/>
      <c r="R30" s="668"/>
      <c r="S30" s="668"/>
      <c r="T30" s="669"/>
      <c r="U30" s="667" t="s">
        <v>74</v>
      </c>
      <c r="V30" s="668"/>
      <c r="W30" s="668"/>
      <c r="X30" s="668"/>
      <c r="Y30" s="668"/>
      <c r="Z30" s="668"/>
      <c r="AA30" s="668"/>
      <c r="AB30" s="669"/>
      <c r="AC30" s="667" t="s">
        <v>281</v>
      </c>
      <c r="AD30" s="668"/>
      <c r="AE30" s="668"/>
      <c r="AF30" s="669"/>
    </row>
    <row r="31" spans="1:32" ht="24.95" customHeight="1">
      <c r="A31" s="719"/>
      <c r="B31" s="724"/>
      <c r="C31" s="725"/>
      <c r="D31" s="725"/>
      <c r="E31" s="725"/>
      <c r="F31" s="725"/>
      <c r="G31" s="725"/>
      <c r="H31" s="725"/>
      <c r="I31" s="725"/>
      <c r="J31" s="725"/>
      <c r="K31" s="725"/>
      <c r="L31" s="726"/>
      <c r="M31" s="672" t="s">
        <v>173</v>
      </c>
      <c r="N31" s="673"/>
      <c r="O31" s="672" t="s">
        <v>174</v>
      </c>
      <c r="P31" s="673"/>
      <c r="Q31" s="672" t="s">
        <v>195</v>
      </c>
      <c r="R31" s="673"/>
      <c r="S31" s="672" t="s">
        <v>196</v>
      </c>
      <c r="T31" s="673"/>
      <c r="U31" s="672" t="s">
        <v>173</v>
      </c>
      <c r="V31" s="673"/>
      <c r="W31" s="672" t="s">
        <v>174</v>
      </c>
      <c r="X31" s="673"/>
      <c r="Y31" s="672" t="s">
        <v>195</v>
      </c>
      <c r="Z31" s="673"/>
      <c r="AA31" s="672" t="s">
        <v>196</v>
      </c>
      <c r="AB31" s="673"/>
      <c r="AC31" s="665" t="s">
        <v>173</v>
      </c>
      <c r="AD31" s="665" t="s">
        <v>174</v>
      </c>
      <c r="AE31" s="665" t="s">
        <v>195</v>
      </c>
      <c r="AF31" s="665" t="s">
        <v>196</v>
      </c>
    </row>
    <row r="32" spans="1:32" ht="18" customHeight="1">
      <c r="A32" s="720"/>
      <c r="B32" s="741"/>
      <c r="C32" s="765"/>
      <c r="D32" s="765"/>
      <c r="E32" s="765"/>
      <c r="F32" s="765"/>
      <c r="G32" s="765"/>
      <c r="H32" s="765"/>
      <c r="I32" s="765"/>
      <c r="J32" s="765"/>
      <c r="K32" s="765"/>
      <c r="L32" s="742"/>
      <c r="M32" s="674"/>
      <c r="N32" s="675"/>
      <c r="O32" s="674"/>
      <c r="P32" s="675"/>
      <c r="Q32" s="674"/>
      <c r="R32" s="675"/>
      <c r="S32" s="674"/>
      <c r="T32" s="675"/>
      <c r="U32" s="674"/>
      <c r="V32" s="675"/>
      <c r="W32" s="674"/>
      <c r="X32" s="675"/>
      <c r="Y32" s="674"/>
      <c r="Z32" s="675"/>
      <c r="AA32" s="674"/>
      <c r="AB32" s="675"/>
      <c r="AC32" s="666"/>
      <c r="AD32" s="666"/>
      <c r="AE32" s="666"/>
      <c r="AF32" s="666"/>
    </row>
    <row r="33" spans="1:32" ht="12" customHeight="1">
      <c r="A33" s="63">
        <v>1</v>
      </c>
      <c r="B33" s="717">
        <v>2</v>
      </c>
      <c r="C33" s="717"/>
      <c r="D33" s="717"/>
      <c r="E33" s="717"/>
      <c r="F33" s="717"/>
      <c r="G33" s="717"/>
      <c r="H33" s="717"/>
      <c r="I33" s="717"/>
      <c r="J33" s="717"/>
      <c r="K33" s="717"/>
      <c r="L33" s="717"/>
      <c r="M33" s="670">
        <v>3</v>
      </c>
      <c r="N33" s="671"/>
      <c r="O33" s="670">
        <v>4</v>
      </c>
      <c r="P33" s="671"/>
      <c r="Q33" s="670">
        <v>5</v>
      </c>
      <c r="R33" s="671"/>
      <c r="S33" s="670">
        <v>9</v>
      </c>
      <c r="T33" s="671"/>
      <c r="U33" s="670">
        <v>7</v>
      </c>
      <c r="V33" s="671"/>
      <c r="W33" s="670">
        <v>8</v>
      </c>
      <c r="X33" s="671"/>
      <c r="Y33" s="670">
        <v>9</v>
      </c>
      <c r="Z33" s="671"/>
      <c r="AA33" s="670">
        <v>10</v>
      </c>
      <c r="AB33" s="671"/>
      <c r="AC33" s="126">
        <v>11</v>
      </c>
      <c r="AD33" s="126">
        <v>12</v>
      </c>
      <c r="AE33" s="126">
        <v>13</v>
      </c>
      <c r="AF33" s="126">
        <v>14</v>
      </c>
    </row>
    <row r="34" spans="1:32" ht="15" customHeight="1">
      <c r="A34" s="71"/>
      <c r="B34" s="730" t="s">
        <v>500</v>
      </c>
      <c r="C34" s="730"/>
      <c r="D34" s="730"/>
      <c r="E34" s="730"/>
      <c r="F34" s="730"/>
      <c r="G34" s="730"/>
      <c r="H34" s="730"/>
      <c r="I34" s="730"/>
      <c r="J34" s="730"/>
      <c r="K34" s="730"/>
      <c r="L34" s="730"/>
      <c r="M34" s="647"/>
      <c r="N34" s="648"/>
      <c r="O34" s="647"/>
      <c r="P34" s="648"/>
      <c r="Q34" s="641">
        <f t="shared" ref="Q34:Q39" si="1">O34-M34</f>
        <v>0</v>
      </c>
      <c r="R34" s="642"/>
      <c r="S34" s="645"/>
      <c r="T34" s="646"/>
      <c r="U34" s="647"/>
      <c r="V34" s="648"/>
      <c r="W34" s="647"/>
      <c r="X34" s="648"/>
      <c r="Y34" s="641">
        <f t="shared" ref="Y34:Y39" si="2">W34-U34</f>
        <v>0</v>
      </c>
      <c r="Z34" s="642"/>
      <c r="AA34" s="645"/>
      <c r="AB34" s="646"/>
      <c r="AC34" s="339">
        <v>50</v>
      </c>
      <c r="AD34" s="339">
        <v>16</v>
      </c>
      <c r="AE34" s="340">
        <f>AD34-AC34</f>
        <v>-34</v>
      </c>
      <c r="AF34" s="127"/>
    </row>
    <row r="35" spans="1:32" ht="15" customHeight="1">
      <c r="A35" s="71"/>
      <c r="B35" s="730" t="s">
        <v>719</v>
      </c>
      <c r="C35" s="730"/>
      <c r="D35" s="730"/>
      <c r="E35" s="730"/>
      <c r="F35" s="730"/>
      <c r="G35" s="730"/>
      <c r="H35" s="730"/>
      <c r="I35" s="730"/>
      <c r="J35" s="730"/>
      <c r="K35" s="730"/>
      <c r="L35" s="730"/>
      <c r="M35" s="647"/>
      <c r="N35" s="648"/>
      <c r="O35" s="647"/>
      <c r="P35" s="648"/>
      <c r="Q35" s="641">
        <f t="shared" si="1"/>
        <v>0</v>
      </c>
      <c r="R35" s="642"/>
      <c r="S35" s="645"/>
      <c r="T35" s="646"/>
      <c r="U35" s="647"/>
      <c r="V35" s="648"/>
      <c r="W35" s="647"/>
      <c r="X35" s="648"/>
      <c r="Y35" s="641">
        <f t="shared" si="2"/>
        <v>0</v>
      </c>
      <c r="Z35" s="642"/>
      <c r="AA35" s="645"/>
      <c r="AB35" s="646"/>
      <c r="AC35" s="339"/>
      <c r="AD35" s="339"/>
      <c r="AE35" s="339">
        <v>1065</v>
      </c>
      <c r="AF35" s="127"/>
    </row>
    <row r="36" spans="1:32" ht="15" customHeight="1">
      <c r="A36" s="71"/>
      <c r="B36" s="649"/>
      <c r="C36" s="649"/>
      <c r="D36" s="649"/>
      <c r="E36" s="649"/>
      <c r="F36" s="649"/>
      <c r="G36" s="649"/>
      <c r="H36" s="649"/>
      <c r="I36" s="649"/>
      <c r="J36" s="649"/>
      <c r="K36" s="649"/>
      <c r="L36" s="649"/>
      <c r="M36" s="647"/>
      <c r="N36" s="648"/>
      <c r="O36" s="647"/>
      <c r="P36" s="648"/>
      <c r="Q36" s="641">
        <f t="shared" si="1"/>
        <v>0</v>
      </c>
      <c r="R36" s="642"/>
      <c r="S36" s="645"/>
      <c r="T36" s="646"/>
      <c r="U36" s="647"/>
      <c r="V36" s="648"/>
      <c r="W36" s="647"/>
      <c r="X36" s="648"/>
      <c r="Y36" s="641">
        <f t="shared" si="2"/>
        <v>0</v>
      </c>
      <c r="Z36" s="642"/>
      <c r="AA36" s="645"/>
      <c r="AB36" s="646"/>
      <c r="AC36" s="339"/>
      <c r="AD36" s="339"/>
      <c r="AE36" s="340"/>
      <c r="AF36" s="127"/>
    </row>
    <row r="37" spans="1:32" ht="15" customHeight="1">
      <c r="A37" s="71"/>
      <c r="B37" s="649"/>
      <c r="C37" s="649"/>
      <c r="D37" s="649"/>
      <c r="E37" s="649"/>
      <c r="F37" s="649"/>
      <c r="G37" s="649"/>
      <c r="H37" s="649"/>
      <c r="I37" s="649"/>
      <c r="J37" s="649"/>
      <c r="K37" s="649"/>
      <c r="L37" s="649"/>
      <c r="M37" s="647"/>
      <c r="N37" s="648"/>
      <c r="O37" s="647"/>
      <c r="P37" s="648"/>
      <c r="Q37" s="641">
        <f t="shared" si="1"/>
        <v>0</v>
      </c>
      <c r="R37" s="642"/>
      <c r="S37" s="645"/>
      <c r="T37" s="646"/>
      <c r="U37" s="647"/>
      <c r="V37" s="648"/>
      <c r="W37" s="647"/>
      <c r="X37" s="648"/>
      <c r="Y37" s="641">
        <f t="shared" si="2"/>
        <v>0</v>
      </c>
      <c r="Z37" s="642"/>
      <c r="AA37" s="645"/>
      <c r="AB37" s="646"/>
      <c r="AC37" s="339"/>
      <c r="AD37" s="339"/>
      <c r="AE37" s="340"/>
      <c r="AF37" s="127"/>
    </row>
    <row r="38" spans="1:32" ht="15" customHeight="1">
      <c r="A38" s="71"/>
      <c r="B38" s="649"/>
      <c r="C38" s="649"/>
      <c r="D38" s="649"/>
      <c r="E38" s="649"/>
      <c r="F38" s="649"/>
      <c r="G38" s="649"/>
      <c r="H38" s="649"/>
      <c r="I38" s="649"/>
      <c r="J38" s="649"/>
      <c r="K38" s="649"/>
      <c r="L38" s="649"/>
      <c r="M38" s="647"/>
      <c r="N38" s="648"/>
      <c r="O38" s="647"/>
      <c r="P38" s="648"/>
      <c r="Q38" s="641">
        <f t="shared" si="1"/>
        <v>0</v>
      </c>
      <c r="R38" s="642"/>
      <c r="S38" s="645"/>
      <c r="T38" s="646"/>
      <c r="U38" s="647"/>
      <c r="V38" s="648"/>
      <c r="W38" s="647"/>
      <c r="X38" s="648"/>
      <c r="Y38" s="641">
        <f t="shared" si="2"/>
        <v>0</v>
      </c>
      <c r="Z38" s="642"/>
      <c r="AA38" s="645"/>
      <c r="AB38" s="646"/>
      <c r="AC38" s="339"/>
      <c r="AD38" s="339"/>
      <c r="AE38" s="340"/>
      <c r="AF38" s="127"/>
    </row>
    <row r="39" spans="1:32" ht="21" customHeight="1">
      <c r="A39" s="706" t="s">
        <v>49</v>
      </c>
      <c r="B39" s="707"/>
      <c r="C39" s="707"/>
      <c r="D39" s="707"/>
      <c r="E39" s="707"/>
      <c r="F39" s="707"/>
      <c r="G39" s="707"/>
      <c r="H39" s="707"/>
      <c r="I39" s="707"/>
      <c r="J39" s="707"/>
      <c r="K39" s="707"/>
      <c r="L39" s="708"/>
      <c r="M39" s="641">
        <f>SUM(M34:M38)</f>
        <v>0</v>
      </c>
      <c r="N39" s="642"/>
      <c r="O39" s="641">
        <f>SUM(O34:O38)</f>
        <v>0</v>
      </c>
      <c r="P39" s="642"/>
      <c r="Q39" s="641">
        <f t="shared" si="1"/>
        <v>0</v>
      </c>
      <c r="R39" s="642"/>
      <c r="S39" s="645"/>
      <c r="T39" s="646"/>
      <c r="U39" s="641">
        <f>SUM(U34:U38)</f>
        <v>0</v>
      </c>
      <c r="V39" s="642"/>
      <c r="W39" s="641">
        <f>SUM(W34:W38)</f>
        <v>0</v>
      </c>
      <c r="X39" s="642"/>
      <c r="Y39" s="641">
        <f t="shared" si="2"/>
        <v>0</v>
      </c>
      <c r="Z39" s="642"/>
      <c r="AA39" s="645"/>
      <c r="AB39" s="646"/>
      <c r="AC39" s="340">
        <f>SUM(AC34:AC38)</f>
        <v>50</v>
      </c>
      <c r="AD39" s="340">
        <f t="shared" ref="AD39:AE39" si="3">SUM(AD34:AD38)</f>
        <v>16</v>
      </c>
      <c r="AE39" s="340">
        <f t="shared" si="3"/>
        <v>1031</v>
      </c>
      <c r="AF39" s="127"/>
    </row>
    <row r="40" spans="1:32" ht="14.25" customHeight="1">
      <c r="A40" s="706" t="s">
        <v>50</v>
      </c>
      <c r="B40" s="707"/>
      <c r="C40" s="707"/>
      <c r="D40" s="707"/>
      <c r="E40" s="707"/>
      <c r="F40" s="707"/>
      <c r="G40" s="707"/>
      <c r="H40" s="707"/>
      <c r="I40" s="707"/>
      <c r="J40" s="707"/>
      <c r="K40" s="707"/>
      <c r="L40" s="708"/>
      <c r="M40" s="645"/>
      <c r="N40" s="646"/>
      <c r="O40" s="645"/>
      <c r="P40" s="646"/>
      <c r="Q40" s="645"/>
      <c r="R40" s="646"/>
      <c r="S40" s="639"/>
      <c r="T40" s="640"/>
      <c r="U40" s="645"/>
      <c r="V40" s="646"/>
      <c r="W40" s="645"/>
      <c r="X40" s="646"/>
      <c r="Y40" s="645"/>
      <c r="Z40" s="646"/>
      <c r="AA40" s="639"/>
      <c r="AB40" s="640"/>
      <c r="AC40" s="127"/>
      <c r="AD40" s="127"/>
      <c r="AE40" s="128"/>
      <c r="AF40" s="128"/>
    </row>
    <row r="41" spans="1:32" ht="15" customHeight="1">
      <c r="A41" s="129"/>
      <c r="B41" s="129"/>
      <c r="C41" s="129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718" t="s">
        <v>45</v>
      </c>
      <c r="B42" s="721" t="s">
        <v>177</v>
      </c>
      <c r="C42" s="722"/>
      <c r="D42" s="722"/>
      <c r="E42" s="722"/>
      <c r="F42" s="722"/>
      <c r="G42" s="722"/>
      <c r="H42" s="722"/>
      <c r="I42" s="722"/>
      <c r="J42" s="722"/>
      <c r="K42" s="722"/>
      <c r="L42" s="723"/>
      <c r="M42" s="667" t="s">
        <v>282</v>
      </c>
      <c r="N42" s="668"/>
      <c r="O42" s="668"/>
      <c r="P42" s="668"/>
      <c r="Q42" s="668"/>
      <c r="R42" s="668"/>
      <c r="S42" s="668"/>
      <c r="T42" s="669"/>
      <c r="U42" s="667" t="s">
        <v>92</v>
      </c>
      <c r="V42" s="668"/>
      <c r="W42" s="668"/>
      <c r="X42" s="668"/>
      <c r="Y42" s="668"/>
      <c r="Z42" s="668"/>
      <c r="AA42" s="668"/>
      <c r="AB42" s="669"/>
      <c r="AC42" s="667" t="s">
        <v>283</v>
      </c>
      <c r="AD42" s="668"/>
      <c r="AE42" s="668"/>
      <c r="AF42" s="669"/>
    </row>
    <row r="43" spans="1:32" ht="15.75" customHeight="1">
      <c r="A43" s="719"/>
      <c r="B43" s="724"/>
      <c r="C43" s="725"/>
      <c r="D43" s="725"/>
      <c r="E43" s="725"/>
      <c r="F43" s="725"/>
      <c r="G43" s="725"/>
      <c r="H43" s="725"/>
      <c r="I43" s="725"/>
      <c r="J43" s="725"/>
      <c r="K43" s="725"/>
      <c r="L43" s="726"/>
      <c r="M43" s="672" t="s">
        <v>173</v>
      </c>
      <c r="N43" s="673"/>
      <c r="O43" s="672" t="s">
        <v>174</v>
      </c>
      <c r="P43" s="673"/>
      <c r="Q43" s="672" t="s">
        <v>195</v>
      </c>
      <c r="R43" s="673"/>
      <c r="S43" s="672" t="s">
        <v>196</v>
      </c>
      <c r="T43" s="673"/>
      <c r="U43" s="672" t="s">
        <v>173</v>
      </c>
      <c r="V43" s="673"/>
      <c r="W43" s="672" t="s">
        <v>174</v>
      </c>
      <c r="X43" s="673"/>
      <c r="Y43" s="672" t="s">
        <v>195</v>
      </c>
      <c r="Z43" s="673"/>
      <c r="AA43" s="672" t="s">
        <v>196</v>
      </c>
      <c r="AB43" s="673"/>
      <c r="AC43" s="665" t="s">
        <v>173</v>
      </c>
      <c r="AD43" s="665" t="s">
        <v>174</v>
      </c>
      <c r="AE43" s="665" t="s">
        <v>195</v>
      </c>
      <c r="AF43" s="665" t="s">
        <v>196</v>
      </c>
    </row>
    <row r="44" spans="1:32" ht="25.5" customHeight="1">
      <c r="A44" s="719"/>
      <c r="B44" s="724"/>
      <c r="C44" s="725"/>
      <c r="D44" s="725"/>
      <c r="E44" s="725"/>
      <c r="F44" s="725"/>
      <c r="G44" s="725"/>
      <c r="H44" s="725"/>
      <c r="I44" s="725"/>
      <c r="J44" s="725"/>
      <c r="K44" s="725"/>
      <c r="L44" s="726"/>
      <c r="M44" s="674"/>
      <c r="N44" s="675"/>
      <c r="O44" s="674"/>
      <c r="P44" s="675"/>
      <c r="Q44" s="674"/>
      <c r="R44" s="675"/>
      <c r="S44" s="674"/>
      <c r="T44" s="675"/>
      <c r="U44" s="674"/>
      <c r="V44" s="675"/>
      <c r="W44" s="674"/>
      <c r="X44" s="675"/>
      <c r="Y44" s="674"/>
      <c r="Z44" s="675"/>
      <c r="AA44" s="674"/>
      <c r="AB44" s="675"/>
      <c r="AC44" s="666"/>
      <c r="AD44" s="666"/>
      <c r="AE44" s="666"/>
      <c r="AF44" s="666"/>
    </row>
    <row r="45" spans="1:32" ht="12" customHeight="1">
      <c r="A45" s="63">
        <v>1</v>
      </c>
      <c r="B45" s="717">
        <v>2</v>
      </c>
      <c r="C45" s="717"/>
      <c r="D45" s="717"/>
      <c r="E45" s="717"/>
      <c r="F45" s="717"/>
      <c r="G45" s="717"/>
      <c r="H45" s="717"/>
      <c r="I45" s="717"/>
      <c r="J45" s="717"/>
      <c r="K45" s="717"/>
      <c r="L45" s="717"/>
      <c r="M45" s="670">
        <v>15</v>
      </c>
      <c r="N45" s="671"/>
      <c r="O45" s="670">
        <v>16</v>
      </c>
      <c r="P45" s="671"/>
      <c r="Q45" s="670">
        <v>17</v>
      </c>
      <c r="R45" s="671"/>
      <c r="S45" s="670">
        <v>18</v>
      </c>
      <c r="T45" s="671"/>
      <c r="U45" s="670">
        <v>19</v>
      </c>
      <c r="V45" s="671"/>
      <c r="W45" s="670">
        <v>20</v>
      </c>
      <c r="X45" s="671"/>
      <c r="Y45" s="670">
        <v>21</v>
      </c>
      <c r="Z45" s="671"/>
      <c r="AA45" s="670">
        <v>22</v>
      </c>
      <c r="AB45" s="671"/>
      <c r="AC45" s="126">
        <v>23</v>
      </c>
      <c r="AD45" s="126">
        <v>24</v>
      </c>
      <c r="AE45" s="126">
        <v>25</v>
      </c>
      <c r="AF45" s="126">
        <v>26</v>
      </c>
    </row>
    <row r="46" spans="1:32" ht="15" customHeight="1">
      <c r="A46" s="71"/>
      <c r="B46" s="706" t="str">
        <f>B34</f>
        <v>придбання основних засобів</v>
      </c>
      <c r="C46" s="707"/>
      <c r="D46" s="707"/>
      <c r="E46" s="707"/>
      <c r="F46" s="707"/>
      <c r="G46" s="707"/>
      <c r="H46" s="707"/>
      <c r="I46" s="707"/>
      <c r="J46" s="707"/>
      <c r="K46" s="707"/>
      <c r="L46" s="708"/>
      <c r="M46" s="647"/>
      <c r="N46" s="648"/>
      <c r="O46" s="647"/>
      <c r="P46" s="648"/>
      <c r="Q46" s="641">
        <f t="shared" ref="Q46:Q51" si="4">O46-M46</f>
        <v>0</v>
      </c>
      <c r="R46" s="642"/>
      <c r="S46" s="645"/>
      <c r="T46" s="646"/>
      <c r="U46" s="647"/>
      <c r="V46" s="648"/>
      <c r="W46" s="647"/>
      <c r="X46" s="648"/>
      <c r="Y46" s="641">
        <f t="shared" ref="Y46:Y51" si="5">W46-U46</f>
        <v>0</v>
      </c>
      <c r="Z46" s="642"/>
      <c r="AA46" s="645"/>
      <c r="AB46" s="646"/>
      <c r="AC46" s="122">
        <f>M34+U34+AC34+M46+U46</f>
        <v>50</v>
      </c>
      <c r="AD46" s="122">
        <f>O34+W34+AD34+O46+W46</f>
        <v>16</v>
      </c>
      <c r="AE46" s="122">
        <f>AD46-AC46</f>
        <v>-34</v>
      </c>
      <c r="AF46" s="127"/>
    </row>
    <row r="47" spans="1:32" ht="15" customHeight="1">
      <c r="A47" s="71"/>
      <c r="B47" s="706" t="str">
        <f>B35</f>
        <v>капитальний ремонт приміщення вул.Леваневського, 34</v>
      </c>
      <c r="C47" s="707"/>
      <c r="D47" s="707"/>
      <c r="E47" s="707"/>
      <c r="F47" s="707"/>
      <c r="G47" s="707"/>
      <c r="H47" s="707"/>
      <c r="I47" s="707"/>
      <c r="J47" s="707"/>
      <c r="K47" s="707"/>
      <c r="L47" s="708"/>
      <c r="M47" s="647"/>
      <c r="N47" s="648"/>
      <c r="O47" s="647"/>
      <c r="P47" s="648"/>
      <c r="Q47" s="641">
        <f t="shared" si="4"/>
        <v>0</v>
      </c>
      <c r="R47" s="642"/>
      <c r="S47" s="645"/>
      <c r="T47" s="646"/>
      <c r="U47" s="647"/>
      <c r="V47" s="648"/>
      <c r="W47" s="647">
        <v>132</v>
      </c>
      <c r="X47" s="648"/>
      <c r="Y47" s="641">
        <f t="shared" si="5"/>
        <v>132</v>
      </c>
      <c r="Z47" s="642"/>
      <c r="AA47" s="645"/>
      <c r="AB47" s="646"/>
      <c r="AC47" s="122">
        <f>M35+U35+AC35+M47+U47</f>
        <v>0</v>
      </c>
      <c r="AD47" s="122">
        <f>O35+W35+AD35+O47+W47</f>
        <v>132</v>
      </c>
      <c r="AE47" s="122">
        <f>AD47-AC47</f>
        <v>132</v>
      </c>
      <c r="AF47" s="127"/>
    </row>
    <row r="48" spans="1:32" ht="15" customHeight="1">
      <c r="A48" s="71"/>
      <c r="B48" s="649"/>
      <c r="C48" s="649"/>
      <c r="D48" s="649"/>
      <c r="E48" s="649"/>
      <c r="F48" s="649"/>
      <c r="G48" s="649"/>
      <c r="H48" s="649"/>
      <c r="I48" s="649"/>
      <c r="J48" s="649"/>
      <c r="K48" s="649"/>
      <c r="L48" s="649"/>
      <c r="M48" s="647"/>
      <c r="N48" s="648"/>
      <c r="O48" s="647"/>
      <c r="P48" s="648"/>
      <c r="Q48" s="641">
        <f t="shared" si="4"/>
        <v>0</v>
      </c>
      <c r="R48" s="642"/>
      <c r="S48" s="645"/>
      <c r="T48" s="646"/>
      <c r="U48" s="647"/>
      <c r="V48" s="648"/>
      <c r="W48" s="647"/>
      <c r="X48" s="648"/>
      <c r="Y48" s="641">
        <f t="shared" si="5"/>
        <v>0</v>
      </c>
      <c r="Z48" s="642"/>
      <c r="AA48" s="645"/>
      <c r="AB48" s="646"/>
      <c r="AC48" s="122">
        <f>M36+U36+AC36+M48+U48</f>
        <v>0</v>
      </c>
      <c r="AD48" s="122">
        <f>O36+W36+AD36+O48+W48</f>
        <v>0</v>
      </c>
      <c r="AE48" s="122">
        <f>AD48-AC48</f>
        <v>0</v>
      </c>
      <c r="AF48" s="127"/>
    </row>
    <row r="49" spans="1:32" ht="15" customHeight="1">
      <c r="A49" s="71"/>
      <c r="B49" s="649"/>
      <c r="C49" s="649"/>
      <c r="D49" s="649"/>
      <c r="E49" s="649"/>
      <c r="F49" s="649"/>
      <c r="G49" s="649"/>
      <c r="H49" s="649"/>
      <c r="I49" s="649"/>
      <c r="J49" s="649"/>
      <c r="K49" s="649"/>
      <c r="L49" s="649"/>
      <c r="M49" s="647"/>
      <c r="N49" s="648"/>
      <c r="O49" s="647"/>
      <c r="P49" s="648"/>
      <c r="Q49" s="641">
        <f t="shared" si="4"/>
        <v>0</v>
      </c>
      <c r="R49" s="642"/>
      <c r="S49" s="645"/>
      <c r="T49" s="646"/>
      <c r="U49" s="647"/>
      <c r="V49" s="648"/>
      <c r="W49" s="647"/>
      <c r="X49" s="648"/>
      <c r="Y49" s="641">
        <f t="shared" si="5"/>
        <v>0</v>
      </c>
      <c r="Z49" s="642"/>
      <c r="AA49" s="645"/>
      <c r="AB49" s="646"/>
      <c r="AC49" s="122">
        <f>M37+U37+AC37+M49+U49</f>
        <v>0</v>
      </c>
      <c r="AD49" s="122">
        <f>O37+W37+AD37+O49+W49</f>
        <v>0</v>
      </c>
      <c r="AE49" s="122">
        <f>AD49-AC49</f>
        <v>0</v>
      </c>
      <c r="AF49" s="127"/>
    </row>
    <row r="50" spans="1:32" ht="15" customHeight="1">
      <c r="A50" s="71"/>
      <c r="B50" s="649"/>
      <c r="C50" s="649"/>
      <c r="D50" s="649"/>
      <c r="E50" s="649"/>
      <c r="F50" s="649"/>
      <c r="G50" s="649"/>
      <c r="H50" s="649"/>
      <c r="I50" s="649"/>
      <c r="J50" s="649"/>
      <c r="K50" s="649"/>
      <c r="L50" s="649"/>
      <c r="M50" s="647"/>
      <c r="N50" s="648"/>
      <c r="O50" s="647"/>
      <c r="P50" s="648"/>
      <c r="Q50" s="641">
        <f t="shared" si="4"/>
        <v>0</v>
      </c>
      <c r="R50" s="642"/>
      <c r="S50" s="645"/>
      <c r="T50" s="646"/>
      <c r="U50" s="647"/>
      <c r="V50" s="648"/>
      <c r="W50" s="647"/>
      <c r="X50" s="648"/>
      <c r="Y50" s="641">
        <f t="shared" si="5"/>
        <v>0</v>
      </c>
      <c r="Z50" s="642"/>
      <c r="AA50" s="645"/>
      <c r="AB50" s="646"/>
      <c r="AC50" s="122">
        <f>M38+U38+AC38+M50+U50</f>
        <v>0</v>
      </c>
      <c r="AD50" s="122">
        <f>O38+W38+AD38+O50+W50</f>
        <v>0</v>
      </c>
      <c r="AE50" s="122">
        <f>AD50-AC50</f>
        <v>0</v>
      </c>
      <c r="AF50" s="127"/>
    </row>
    <row r="51" spans="1:32" ht="18" customHeight="1">
      <c r="A51" s="706" t="s">
        <v>49</v>
      </c>
      <c r="B51" s="707"/>
      <c r="C51" s="707"/>
      <c r="D51" s="707"/>
      <c r="E51" s="707"/>
      <c r="F51" s="707"/>
      <c r="G51" s="707"/>
      <c r="H51" s="707"/>
      <c r="I51" s="707"/>
      <c r="J51" s="707"/>
      <c r="K51" s="707"/>
      <c r="L51" s="708"/>
      <c r="M51" s="641">
        <f>SUM(M46:M50)</f>
        <v>0</v>
      </c>
      <c r="N51" s="642"/>
      <c r="O51" s="641">
        <f>SUM(O46:O50)</f>
        <v>0</v>
      </c>
      <c r="P51" s="642"/>
      <c r="Q51" s="641">
        <f t="shared" si="4"/>
        <v>0</v>
      </c>
      <c r="R51" s="642"/>
      <c r="S51" s="645"/>
      <c r="T51" s="646"/>
      <c r="U51" s="641">
        <f>SUM(U46:U50)</f>
        <v>0</v>
      </c>
      <c r="V51" s="642"/>
      <c r="W51" s="641">
        <f>SUM(W46:W50)</f>
        <v>132</v>
      </c>
      <c r="X51" s="642"/>
      <c r="Y51" s="641">
        <f t="shared" si="5"/>
        <v>132</v>
      </c>
      <c r="Z51" s="642"/>
      <c r="AA51" s="645"/>
      <c r="AB51" s="646"/>
      <c r="AC51" s="122">
        <f>SUM(AC46:AC50)</f>
        <v>50</v>
      </c>
      <c r="AD51" s="122">
        <f>SUM(AD46:AD50)</f>
        <v>148</v>
      </c>
      <c r="AE51" s="122">
        <f>SUM(AE46:AE50)</f>
        <v>98</v>
      </c>
      <c r="AF51" s="127"/>
    </row>
    <row r="52" spans="1:32" ht="15" customHeight="1">
      <c r="A52" s="706" t="s">
        <v>50</v>
      </c>
      <c r="B52" s="707"/>
      <c r="C52" s="707"/>
      <c r="D52" s="707"/>
      <c r="E52" s="707"/>
      <c r="F52" s="707"/>
      <c r="G52" s="707"/>
      <c r="H52" s="707"/>
      <c r="I52" s="707"/>
      <c r="J52" s="707"/>
      <c r="K52" s="707"/>
      <c r="L52" s="708"/>
      <c r="M52" s="645"/>
      <c r="N52" s="646"/>
      <c r="O52" s="645"/>
      <c r="P52" s="646"/>
      <c r="Q52" s="645"/>
      <c r="R52" s="646"/>
      <c r="S52" s="639"/>
      <c r="T52" s="640"/>
      <c r="U52" s="645"/>
      <c r="V52" s="646"/>
      <c r="W52" s="645"/>
      <c r="X52" s="646"/>
      <c r="Y52" s="645"/>
      <c r="Z52" s="646"/>
      <c r="AA52" s="639"/>
      <c r="AB52" s="640"/>
      <c r="AC52" s="127"/>
      <c r="AD52" s="127"/>
      <c r="AE52" s="128"/>
      <c r="AF52" s="128"/>
    </row>
    <row r="53" spans="1:32" ht="5.25" customHeight="1">
      <c r="A53" s="129"/>
      <c r="B53" s="129"/>
      <c r="C53" s="129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6"/>
      <c r="B54" s="116"/>
      <c r="C54" s="116" t="s">
        <v>291</v>
      </c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1"/>
      <c r="L55" s="16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763" t="s">
        <v>165</v>
      </c>
      <c r="AE55" s="763"/>
      <c r="AF55" s="763"/>
    </row>
    <row r="56" spans="1:32" s="57" customFormat="1" ht="17.25" customHeight="1">
      <c r="A56" s="676" t="s">
        <v>148</v>
      </c>
      <c r="B56" s="624" t="s">
        <v>240</v>
      </c>
      <c r="C56" s="525"/>
      <c r="D56" s="617" t="s">
        <v>243</v>
      </c>
      <c r="E56" s="617"/>
      <c r="F56" s="617" t="s">
        <v>149</v>
      </c>
      <c r="G56" s="617"/>
      <c r="H56" s="617" t="s">
        <v>480</v>
      </c>
      <c r="I56" s="617"/>
      <c r="J56" s="617" t="s">
        <v>482</v>
      </c>
      <c r="K56" s="617"/>
      <c r="L56" s="764" t="s">
        <v>481</v>
      </c>
      <c r="M56" s="764"/>
      <c r="N56" s="764"/>
      <c r="O56" s="764"/>
      <c r="P56" s="764"/>
      <c r="Q56" s="764"/>
      <c r="R56" s="764"/>
      <c r="S56" s="764"/>
      <c r="T56" s="764"/>
      <c r="U56" s="764"/>
      <c r="V56" s="508" t="s">
        <v>241</v>
      </c>
      <c r="W56" s="508"/>
      <c r="X56" s="508"/>
      <c r="Y56" s="508"/>
      <c r="Z56" s="508"/>
      <c r="AA56" s="624" t="s">
        <v>242</v>
      </c>
      <c r="AB56" s="625"/>
      <c r="AC56" s="625"/>
      <c r="AD56" s="625"/>
      <c r="AE56" s="625"/>
      <c r="AF56" s="525"/>
    </row>
    <row r="57" spans="1:32" s="57" customFormat="1" ht="24.75" customHeight="1">
      <c r="A57" s="676"/>
      <c r="B57" s="713"/>
      <c r="C57" s="714"/>
      <c r="D57" s="617"/>
      <c r="E57" s="617"/>
      <c r="F57" s="617"/>
      <c r="G57" s="617"/>
      <c r="H57" s="617"/>
      <c r="I57" s="617"/>
      <c r="J57" s="617"/>
      <c r="K57" s="617"/>
      <c r="L57" s="617" t="s">
        <v>213</v>
      </c>
      <c r="M57" s="617"/>
      <c r="N57" s="508" t="s">
        <v>462</v>
      </c>
      <c r="O57" s="508"/>
      <c r="P57" s="617" t="s">
        <v>218</v>
      </c>
      <c r="Q57" s="617"/>
      <c r="R57" s="617"/>
      <c r="S57" s="617"/>
      <c r="T57" s="617"/>
      <c r="U57" s="617"/>
      <c r="V57" s="508"/>
      <c r="W57" s="508"/>
      <c r="X57" s="508"/>
      <c r="Y57" s="508"/>
      <c r="Z57" s="508"/>
      <c r="AA57" s="713"/>
      <c r="AB57" s="681"/>
      <c r="AC57" s="681"/>
      <c r="AD57" s="681"/>
      <c r="AE57" s="681"/>
      <c r="AF57" s="714"/>
    </row>
    <row r="58" spans="1:32" s="58" customFormat="1" ht="85.5" customHeight="1">
      <c r="A58" s="676"/>
      <c r="B58" s="626"/>
      <c r="C58" s="526"/>
      <c r="D58" s="617"/>
      <c r="E58" s="617"/>
      <c r="F58" s="617"/>
      <c r="G58" s="617"/>
      <c r="H58" s="617"/>
      <c r="I58" s="617"/>
      <c r="J58" s="617"/>
      <c r="K58" s="617"/>
      <c r="L58" s="617"/>
      <c r="M58" s="617"/>
      <c r="N58" s="508"/>
      <c r="O58" s="508"/>
      <c r="P58" s="617" t="s">
        <v>214</v>
      </c>
      <c r="Q58" s="617"/>
      <c r="R58" s="617" t="s">
        <v>215</v>
      </c>
      <c r="S58" s="617"/>
      <c r="T58" s="617" t="s">
        <v>216</v>
      </c>
      <c r="U58" s="617"/>
      <c r="V58" s="508"/>
      <c r="W58" s="508"/>
      <c r="X58" s="508"/>
      <c r="Y58" s="508"/>
      <c r="Z58" s="508"/>
      <c r="AA58" s="626"/>
      <c r="AB58" s="627"/>
      <c r="AC58" s="627"/>
      <c r="AD58" s="627"/>
      <c r="AE58" s="627"/>
      <c r="AF58" s="526"/>
    </row>
    <row r="59" spans="1:32" s="57" customFormat="1" ht="12" customHeight="1">
      <c r="A59" s="132">
        <v>1</v>
      </c>
      <c r="B59" s="630">
        <v>2</v>
      </c>
      <c r="C59" s="632"/>
      <c r="D59" s="617">
        <v>3</v>
      </c>
      <c r="E59" s="617"/>
      <c r="F59" s="617">
        <v>4</v>
      </c>
      <c r="G59" s="617"/>
      <c r="H59" s="617">
        <v>5</v>
      </c>
      <c r="I59" s="617"/>
      <c r="J59" s="617">
        <v>6</v>
      </c>
      <c r="K59" s="617"/>
      <c r="L59" s="630">
        <v>7</v>
      </c>
      <c r="M59" s="632"/>
      <c r="N59" s="630">
        <v>8</v>
      </c>
      <c r="O59" s="632"/>
      <c r="P59" s="617">
        <v>9</v>
      </c>
      <c r="Q59" s="617"/>
      <c r="R59" s="676">
        <v>10</v>
      </c>
      <c r="S59" s="676"/>
      <c r="T59" s="617">
        <v>11</v>
      </c>
      <c r="U59" s="617"/>
      <c r="V59" s="630">
        <v>12</v>
      </c>
      <c r="W59" s="631"/>
      <c r="X59" s="631"/>
      <c r="Y59" s="631"/>
      <c r="Z59" s="632"/>
      <c r="AA59" s="617">
        <v>13</v>
      </c>
      <c r="AB59" s="617"/>
      <c r="AC59" s="617"/>
      <c r="AD59" s="617"/>
      <c r="AE59" s="617"/>
      <c r="AF59" s="617"/>
    </row>
    <row r="60" spans="1:32" s="57" customFormat="1" ht="20.100000000000001" customHeight="1">
      <c r="A60" s="133"/>
      <c r="B60" s="715"/>
      <c r="C60" s="716"/>
      <c r="D60" s="644"/>
      <c r="E60" s="644"/>
      <c r="F60" s="643"/>
      <c r="G60" s="643"/>
      <c r="H60" s="643"/>
      <c r="I60" s="643"/>
      <c r="J60" s="643"/>
      <c r="K60" s="643"/>
      <c r="L60" s="643"/>
      <c r="M60" s="643"/>
      <c r="N60" s="641">
        <f>SUM(P60,R60,T60)</f>
        <v>0</v>
      </c>
      <c r="O60" s="642"/>
      <c r="P60" s="643"/>
      <c r="Q60" s="643"/>
      <c r="R60" s="643"/>
      <c r="S60" s="643"/>
      <c r="T60" s="643"/>
      <c r="U60" s="643"/>
      <c r="V60" s="650"/>
      <c r="W60" s="651"/>
      <c r="X60" s="651"/>
      <c r="Y60" s="651"/>
      <c r="Z60" s="652"/>
      <c r="AA60" s="679"/>
      <c r="AB60" s="679"/>
      <c r="AC60" s="679"/>
      <c r="AD60" s="679"/>
      <c r="AE60" s="679"/>
      <c r="AF60" s="679"/>
    </row>
    <row r="61" spans="1:32" s="57" customFormat="1" ht="20.100000000000001" customHeight="1">
      <c r="A61" s="133"/>
      <c r="B61" s="715"/>
      <c r="C61" s="716"/>
      <c r="D61" s="644"/>
      <c r="E61" s="644"/>
      <c r="F61" s="643"/>
      <c r="G61" s="643"/>
      <c r="H61" s="643"/>
      <c r="I61" s="643"/>
      <c r="J61" s="643"/>
      <c r="K61" s="643"/>
      <c r="L61" s="643"/>
      <c r="M61" s="643"/>
      <c r="N61" s="641">
        <f>SUM(P61,R61,T61)</f>
        <v>0</v>
      </c>
      <c r="O61" s="642"/>
      <c r="P61" s="643"/>
      <c r="Q61" s="643"/>
      <c r="R61" s="643"/>
      <c r="S61" s="643"/>
      <c r="T61" s="643"/>
      <c r="U61" s="643"/>
      <c r="V61" s="650"/>
      <c r="W61" s="651"/>
      <c r="X61" s="651"/>
      <c r="Y61" s="651"/>
      <c r="Z61" s="652"/>
      <c r="AA61" s="679"/>
      <c r="AB61" s="679"/>
      <c r="AC61" s="679"/>
      <c r="AD61" s="679"/>
      <c r="AE61" s="679"/>
      <c r="AF61" s="679"/>
    </row>
    <row r="62" spans="1:32" s="57" customFormat="1" ht="20.100000000000001" customHeight="1">
      <c r="A62" s="133"/>
      <c r="B62" s="715"/>
      <c r="C62" s="716"/>
      <c r="D62" s="644"/>
      <c r="E62" s="644"/>
      <c r="F62" s="643"/>
      <c r="G62" s="643"/>
      <c r="H62" s="643"/>
      <c r="I62" s="643"/>
      <c r="J62" s="643"/>
      <c r="K62" s="643"/>
      <c r="L62" s="643"/>
      <c r="M62" s="643"/>
      <c r="N62" s="641">
        <f>SUM(P62,R62,T62)</f>
        <v>0</v>
      </c>
      <c r="O62" s="642"/>
      <c r="P62" s="643"/>
      <c r="Q62" s="643"/>
      <c r="R62" s="643"/>
      <c r="S62" s="643"/>
      <c r="T62" s="643"/>
      <c r="U62" s="643"/>
      <c r="V62" s="650"/>
      <c r="W62" s="651"/>
      <c r="X62" s="651"/>
      <c r="Y62" s="651"/>
      <c r="Z62" s="652"/>
      <c r="AA62" s="679"/>
      <c r="AB62" s="679"/>
      <c r="AC62" s="679"/>
      <c r="AD62" s="679"/>
      <c r="AE62" s="679"/>
      <c r="AF62" s="679"/>
    </row>
    <row r="63" spans="1:32" s="57" customFormat="1" ht="20.100000000000001" customHeight="1">
      <c r="A63" s="133"/>
      <c r="B63" s="715"/>
      <c r="C63" s="716"/>
      <c r="D63" s="644"/>
      <c r="E63" s="644"/>
      <c r="F63" s="643"/>
      <c r="G63" s="643"/>
      <c r="H63" s="643"/>
      <c r="I63" s="643"/>
      <c r="J63" s="643"/>
      <c r="K63" s="643"/>
      <c r="L63" s="643"/>
      <c r="M63" s="643"/>
      <c r="N63" s="641">
        <f>SUM(P63,R63,T63)</f>
        <v>0</v>
      </c>
      <c r="O63" s="642"/>
      <c r="P63" s="643"/>
      <c r="Q63" s="643"/>
      <c r="R63" s="643"/>
      <c r="S63" s="643"/>
      <c r="T63" s="643"/>
      <c r="U63" s="643"/>
      <c r="V63" s="650"/>
      <c r="W63" s="651"/>
      <c r="X63" s="651"/>
      <c r="Y63" s="651"/>
      <c r="Z63" s="652"/>
      <c r="AA63" s="679"/>
      <c r="AB63" s="679"/>
      <c r="AC63" s="679"/>
      <c r="AD63" s="679"/>
      <c r="AE63" s="679"/>
      <c r="AF63" s="679"/>
    </row>
    <row r="64" spans="1:32" s="57" customFormat="1" ht="20.100000000000001" customHeight="1">
      <c r="A64" s="133"/>
      <c r="B64" s="715"/>
      <c r="C64" s="716"/>
      <c r="D64" s="644"/>
      <c r="E64" s="644"/>
      <c r="F64" s="643"/>
      <c r="G64" s="643"/>
      <c r="H64" s="643"/>
      <c r="I64" s="643"/>
      <c r="J64" s="643"/>
      <c r="K64" s="643"/>
      <c r="L64" s="643"/>
      <c r="M64" s="643"/>
      <c r="N64" s="641">
        <f>SUM(P64,R64,T64)</f>
        <v>0</v>
      </c>
      <c r="O64" s="642"/>
      <c r="P64" s="643"/>
      <c r="Q64" s="643"/>
      <c r="R64" s="643"/>
      <c r="S64" s="643"/>
      <c r="T64" s="643"/>
      <c r="U64" s="643"/>
      <c r="V64" s="650"/>
      <c r="W64" s="651"/>
      <c r="X64" s="651"/>
      <c r="Y64" s="651"/>
      <c r="Z64" s="652"/>
      <c r="AA64" s="679"/>
      <c r="AB64" s="679"/>
      <c r="AC64" s="679"/>
      <c r="AD64" s="679"/>
      <c r="AE64" s="679"/>
      <c r="AF64" s="679"/>
    </row>
    <row r="65" spans="1:32" s="57" customFormat="1" ht="21" customHeight="1">
      <c r="A65" s="703" t="s">
        <v>49</v>
      </c>
      <c r="B65" s="704"/>
      <c r="C65" s="704"/>
      <c r="D65" s="704"/>
      <c r="E65" s="705"/>
      <c r="F65" s="655">
        <f>SUM(F60:G64)</f>
        <v>0</v>
      </c>
      <c r="G65" s="655"/>
      <c r="H65" s="655">
        <f>SUM(H60:I64)</f>
        <v>0</v>
      </c>
      <c r="I65" s="655"/>
      <c r="J65" s="655">
        <f>SUM(J60:K64)</f>
        <v>0</v>
      </c>
      <c r="K65" s="655"/>
      <c r="L65" s="655">
        <f>SUM(L60:M64)</f>
        <v>0</v>
      </c>
      <c r="M65" s="655"/>
      <c r="N65" s="655">
        <f>SUM(N60:O64)</f>
        <v>0</v>
      </c>
      <c r="O65" s="655"/>
      <c r="P65" s="655">
        <f>SUM(P60:Q64)</f>
        <v>0</v>
      </c>
      <c r="Q65" s="655"/>
      <c r="R65" s="655">
        <f>SUM(R60:S64)</f>
        <v>0</v>
      </c>
      <c r="S65" s="655"/>
      <c r="T65" s="655">
        <f>SUM(T60:U64)</f>
        <v>0</v>
      </c>
      <c r="U65" s="655"/>
      <c r="V65" s="650"/>
      <c r="W65" s="651"/>
      <c r="X65" s="651"/>
      <c r="Y65" s="651"/>
      <c r="Z65" s="652"/>
      <c r="AA65" s="679"/>
      <c r="AB65" s="679"/>
      <c r="AC65" s="679"/>
      <c r="AD65" s="679"/>
      <c r="AE65" s="679"/>
      <c r="AF65" s="679"/>
    </row>
    <row r="66" spans="1:32" s="57" customFormat="1" ht="7.5" customHeight="1">
      <c r="A66" s="141"/>
      <c r="B66" s="141"/>
      <c r="C66" s="141"/>
      <c r="D66" s="141"/>
      <c r="E66" s="141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2"/>
      <c r="W66" s="142"/>
      <c r="X66" s="142"/>
      <c r="Y66" s="142"/>
      <c r="Z66" s="142"/>
      <c r="AA66" s="120"/>
      <c r="AB66" s="120"/>
      <c r="AC66" s="120"/>
      <c r="AD66" s="120"/>
      <c r="AE66" s="120"/>
      <c r="AF66" s="120"/>
    </row>
    <row r="67" spans="1:32" s="57" customFormat="1" ht="19.5" customHeight="1">
      <c r="A67" s="23"/>
      <c r="B67" s="654" t="s">
        <v>292</v>
      </c>
      <c r="C67" s="654"/>
      <c r="D67" s="654"/>
      <c r="E67" s="654"/>
      <c r="F67" s="654"/>
      <c r="G67" s="654"/>
      <c r="H67" s="654"/>
      <c r="I67" s="654"/>
      <c r="J67" s="654"/>
      <c r="K67" s="654"/>
      <c r="L67" s="654"/>
      <c r="M67" s="654"/>
      <c r="N67" s="654"/>
      <c r="O67" s="654"/>
      <c r="P67" s="654"/>
      <c r="Q67" s="654"/>
      <c r="R67" s="654"/>
      <c r="S67" s="654"/>
      <c r="T67" s="654"/>
      <c r="U67" s="654"/>
      <c r="V67" s="654"/>
      <c r="W67" s="654"/>
      <c r="X67" s="654"/>
      <c r="Y67" s="654"/>
      <c r="Z67" s="654"/>
      <c r="AA67" s="654"/>
      <c r="AB67" s="654"/>
      <c r="AC67" s="654"/>
      <c r="AD67" s="654"/>
      <c r="AE67" s="654"/>
      <c r="AF67" s="120"/>
    </row>
    <row r="68" spans="1:32" s="57" customFormat="1" ht="24.95" customHeight="1">
      <c r="A68" s="709" t="s">
        <v>45</v>
      </c>
      <c r="B68" s="510" t="s">
        <v>200</v>
      </c>
      <c r="C68" s="510"/>
      <c r="D68" s="510"/>
      <c r="E68" s="510"/>
      <c r="F68" s="510"/>
      <c r="G68" s="510"/>
      <c r="H68" s="510"/>
      <c r="I68" s="510"/>
      <c r="J68" s="510"/>
      <c r="K68" s="712" t="s">
        <v>265</v>
      </c>
      <c r="L68" s="712"/>
      <c r="M68" s="712"/>
      <c r="N68" s="656" t="s">
        <v>266</v>
      </c>
      <c r="O68" s="657"/>
      <c r="P68" s="658"/>
      <c r="Q68" s="678" t="s">
        <v>267</v>
      </c>
      <c r="R68" s="678"/>
      <c r="S68" s="678"/>
      <c r="T68" s="510" t="s">
        <v>268</v>
      </c>
      <c r="U68" s="510"/>
      <c r="V68" s="510"/>
      <c r="W68" s="681"/>
      <c r="X68" s="681"/>
      <c r="Y68" s="681"/>
      <c r="Z68" s="681"/>
      <c r="AA68" s="681"/>
      <c r="AB68" s="681"/>
      <c r="AC68" s="681"/>
      <c r="AD68" s="681"/>
      <c r="AE68" s="78"/>
      <c r="AF68" s="120"/>
    </row>
    <row r="69" spans="1:32" s="57" customFormat="1" ht="21.75" customHeight="1">
      <c r="A69" s="710"/>
      <c r="B69" s="510"/>
      <c r="C69" s="510"/>
      <c r="D69" s="510"/>
      <c r="E69" s="510"/>
      <c r="F69" s="510"/>
      <c r="G69" s="510"/>
      <c r="H69" s="510"/>
      <c r="I69" s="510"/>
      <c r="J69" s="510"/>
      <c r="K69" s="712"/>
      <c r="L69" s="712"/>
      <c r="M69" s="712"/>
      <c r="N69" s="659"/>
      <c r="O69" s="660"/>
      <c r="P69" s="661"/>
      <c r="Q69" s="678"/>
      <c r="R69" s="678"/>
      <c r="S69" s="678"/>
      <c r="T69" s="510"/>
      <c r="U69" s="510"/>
      <c r="V69" s="510"/>
      <c r="W69" s="660"/>
      <c r="X69" s="660"/>
      <c r="Y69" s="660"/>
      <c r="Z69" s="660"/>
      <c r="AA69" s="660"/>
      <c r="AB69" s="660"/>
      <c r="AC69" s="660"/>
      <c r="AD69" s="660"/>
      <c r="AE69" s="78"/>
      <c r="AF69" s="120"/>
    </row>
    <row r="70" spans="1:32" s="57" customFormat="1" ht="44.25" customHeight="1">
      <c r="A70" s="711"/>
      <c r="B70" s="510"/>
      <c r="C70" s="510"/>
      <c r="D70" s="510"/>
      <c r="E70" s="510"/>
      <c r="F70" s="510"/>
      <c r="G70" s="510"/>
      <c r="H70" s="510"/>
      <c r="I70" s="510"/>
      <c r="J70" s="510"/>
      <c r="K70" s="712"/>
      <c r="L70" s="712"/>
      <c r="M70" s="712"/>
      <c r="N70" s="662"/>
      <c r="O70" s="663"/>
      <c r="P70" s="664"/>
      <c r="Q70" s="678"/>
      <c r="R70" s="678"/>
      <c r="S70" s="678"/>
      <c r="T70" s="510"/>
      <c r="U70" s="510"/>
      <c r="V70" s="510"/>
      <c r="W70" s="660"/>
      <c r="X70" s="660"/>
      <c r="Y70" s="660"/>
      <c r="Z70" s="660"/>
      <c r="AA70" s="660"/>
      <c r="AB70" s="660"/>
      <c r="AC70" s="660"/>
      <c r="AD70" s="660"/>
      <c r="AE70" s="78"/>
      <c r="AF70" s="120"/>
    </row>
    <row r="71" spans="1:32" s="57" customFormat="1" ht="12.75" customHeight="1">
      <c r="A71" s="107">
        <v>1</v>
      </c>
      <c r="B71" s="702">
        <v>2</v>
      </c>
      <c r="C71" s="702"/>
      <c r="D71" s="702"/>
      <c r="E71" s="702"/>
      <c r="F71" s="702"/>
      <c r="G71" s="702"/>
      <c r="H71" s="702"/>
      <c r="I71" s="702"/>
      <c r="J71" s="702"/>
      <c r="K71" s="682">
        <v>3</v>
      </c>
      <c r="L71" s="682"/>
      <c r="M71" s="682"/>
      <c r="N71" s="682">
        <v>4</v>
      </c>
      <c r="O71" s="682"/>
      <c r="P71" s="682"/>
      <c r="Q71" s="682">
        <v>5</v>
      </c>
      <c r="R71" s="682"/>
      <c r="S71" s="682"/>
      <c r="T71" s="682">
        <v>6</v>
      </c>
      <c r="U71" s="682"/>
      <c r="V71" s="682"/>
      <c r="W71" s="680"/>
      <c r="X71" s="680"/>
      <c r="Y71" s="680"/>
      <c r="Z71" s="680"/>
      <c r="AA71" s="680"/>
      <c r="AB71" s="680"/>
      <c r="AC71" s="680"/>
      <c r="AD71" s="680"/>
      <c r="AE71" s="78"/>
      <c r="AF71" s="120"/>
    </row>
    <row r="72" spans="1:32" s="57" customFormat="1" ht="25.5" customHeight="1">
      <c r="A72" s="89"/>
      <c r="B72" s="633" t="s">
        <v>284</v>
      </c>
      <c r="C72" s="633"/>
      <c r="D72" s="633"/>
      <c r="E72" s="633"/>
      <c r="F72" s="633"/>
      <c r="G72" s="633"/>
      <c r="H72" s="633"/>
      <c r="I72" s="633"/>
      <c r="J72" s="633"/>
      <c r="K72" s="585"/>
      <c r="L72" s="585"/>
      <c r="M72" s="585"/>
      <c r="N72" s="585"/>
      <c r="O72" s="585"/>
      <c r="P72" s="585"/>
      <c r="Q72" s="585"/>
      <c r="R72" s="585"/>
      <c r="S72" s="585"/>
      <c r="T72" s="585"/>
      <c r="U72" s="585"/>
      <c r="V72" s="585"/>
      <c r="W72" s="677"/>
      <c r="X72" s="677"/>
      <c r="Y72" s="677"/>
      <c r="Z72" s="677"/>
      <c r="AA72" s="677"/>
      <c r="AB72" s="677"/>
      <c r="AC72" s="677"/>
      <c r="AD72" s="677"/>
      <c r="AE72" s="78"/>
      <c r="AF72" s="120"/>
    </row>
    <row r="73" spans="1:32" s="57" customFormat="1" ht="19.5" customHeight="1">
      <c r="A73" s="89"/>
      <c r="B73" s="683" t="s">
        <v>285</v>
      </c>
      <c r="C73" s="683"/>
      <c r="D73" s="683"/>
      <c r="E73" s="683"/>
      <c r="F73" s="683"/>
      <c r="G73" s="683"/>
      <c r="H73" s="683"/>
      <c r="I73" s="683"/>
      <c r="J73" s="683"/>
      <c r="K73" s="585"/>
      <c r="L73" s="585"/>
      <c r="M73" s="585"/>
      <c r="N73" s="585"/>
      <c r="O73" s="585"/>
      <c r="P73" s="585"/>
      <c r="Q73" s="585"/>
      <c r="R73" s="585"/>
      <c r="S73" s="585"/>
      <c r="T73" s="585"/>
      <c r="U73" s="585"/>
      <c r="V73" s="585"/>
      <c r="W73" s="677"/>
      <c r="X73" s="677"/>
      <c r="Y73" s="677"/>
      <c r="Z73" s="677"/>
      <c r="AA73" s="677"/>
      <c r="AB73" s="677"/>
      <c r="AC73" s="677"/>
      <c r="AD73" s="677"/>
      <c r="AE73" s="78"/>
      <c r="AF73" s="120"/>
    </row>
    <row r="74" spans="1:32" s="57" customFormat="1" ht="19.5" customHeight="1">
      <c r="A74" s="89"/>
      <c r="B74" s="683" t="s">
        <v>286</v>
      </c>
      <c r="C74" s="683"/>
      <c r="D74" s="683"/>
      <c r="E74" s="683"/>
      <c r="F74" s="683"/>
      <c r="G74" s="683"/>
      <c r="H74" s="683"/>
      <c r="I74" s="683"/>
      <c r="J74" s="683"/>
      <c r="K74" s="585"/>
      <c r="L74" s="585"/>
      <c r="M74" s="585"/>
      <c r="N74" s="585"/>
      <c r="O74" s="585"/>
      <c r="P74" s="585"/>
      <c r="Q74" s="585"/>
      <c r="R74" s="585"/>
      <c r="S74" s="585"/>
      <c r="T74" s="585"/>
      <c r="U74" s="585"/>
      <c r="V74" s="585"/>
      <c r="W74" s="677"/>
      <c r="X74" s="677"/>
      <c r="Y74" s="677"/>
      <c r="Z74" s="677"/>
      <c r="AA74" s="677"/>
      <c r="AB74" s="677"/>
      <c r="AC74" s="677"/>
      <c r="AD74" s="677"/>
      <c r="AE74" s="78"/>
      <c r="AF74" s="120"/>
    </row>
    <row r="75" spans="1:32" s="57" customFormat="1" ht="23.25" customHeight="1">
      <c r="A75" s="89"/>
      <c r="B75" s="699" t="s">
        <v>287</v>
      </c>
      <c r="C75" s="700"/>
      <c r="D75" s="700"/>
      <c r="E75" s="700"/>
      <c r="F75" s="700"/>
      <c r="G75" s="700"/>
      <c r="H75" s="700"/>
      <c r="I75" s="700"/>
      <c r="J75" s="701"/>
      <c r="K75" s="585"/>
      <c r="L75" s="585"/>
      <c r="M75" s="585"/>
      <c r="N75" s="585"/>
      <c r="O75" s="585"/>
      <c r="P75" s="585"/>
      <c r="Q75" s="585"/>
      <c r="R75" s="585"/>
      <c r="S75" s="585"/>
      <c r="T75" s="585"/>
      <c r="U75" s="585"/>
      <c r="V75" s="585"/>
      <c r="W75" s="677"/>
      <c r="X75" s="677"/>
      <c r="Y75" s="677"/>
      <c r="Z75" s="677"/>
      <c r="AA75" s="677"/>
      <c r="AB75" s="677"/>
      <c r="AC75" s="677"/>
      <c r="AD75" s="677"/>
      <c r="AE75" s="78"/>
      <c r="AF75" s="120"/>
    </row>
    <row r="76" spans="1:32" s="57" customFormat="1" ht="18" customHeight="1">
      <c r="A76" s="89"/>
      <c r="B76" s="683" t="s">
        <v>285</v>
      </c>
      <c r="C76" s="683"/>
      <c r="D76" s="683"/>
      <c r="E76" s="683"/>
      <c r="F76" s="683"/>
      <c r="G76" s="683"/>
      <c r="H76" s="683"/>
      <c r="I76" s="683"/>
      <c r="J76" s="683"/>
      <c r="K76" s="585"/>
      <c r="L76" s="585"/>
      <c r="M76" s="585"/>
      <c r="N76" s="585"/>
      <c r="O76" s="585"/>
      <c r="P76" s="585"/>
      <c r="Q76" s="585"/>
      <c r="R76" s="585"/>
      <c r="S76" s="585"/>
      <c r="T76" s="585"/>
      <c r="U76" s="585"/>
      <c r="V76" s="585"/>
      <c r="W76" s="677"/>
      <c r="X76" s="677"/>
      <c r="Y76" s="677"/>
      <c r="Z76" s="677"/>
      <c r="AA76" s="677"/>
      <c r="AB76" s="677"/>
      <c r="AC76" s="677"/>
      <c r="AD76" s="677"/>
      <c r="AE76" s="78"/>
      <c r="AF76" s="120"/>
    </row>
    <row r="77" spans="1:32" s="57" customFormat="1" ht="24.95" customHeight="1">
      <c r="A77" s="139"/>
      <c r="B77" s="683" t="s">
        <v>286</v>
      </c>
      <c r="C77" s="683"/>
      <c r="D77" s="683"/>
      <c r="E77" s="683"/>
      <c r="F77" s="683"/>
      <c r="G77" s="683"/>
      <c r="H77" s="683"/>
      <c r="I77" s="683"/>
      <c r="J77" s="683"/>
      <c r="K77" s="585"/>
      <c r="L77" s="585"/>
      <c r="M77" s="585"/>
      <c r="N77" s="585"/>
      <c r="O77" s="585"/>
      <c r="P77" s="585"/>
      <c r="Q77" s="585"/>
      <c r="R77" s="585"/>
      <c r="S77" s="585"/>
      <c r="T77" s="585"/>
      <c r="U77" s="585"/>
      <c r="V77" s="585"/>
      <c r="W77" s="677"/>
      <c r="X77" s="677"/>
      <c r="Y77" s="677"/>
      <c r="Z77" s="677"/>
      <c r="AA77" s="677"/>
      <c r="AB77" s="677"/>
      <c r="AC77" s="677"/>
      <c r="AD77" s="677"/>
      <c r="AE77" s="78"/>
      <c r="AF77" s="120"/>
    </row>
    <row r="78" spans="1:32" s="57" customFormat="1" ht="23.25" customHeight="1">
      <c r="A78" s="139"/>
      <c r="B78" s="699" t="s">
        <v>288</v>
      </c>
      <c r="C78" s="700"/>
      <c r="D78" s="700"/>
      <c r="E78" s="700"/>
      <c r="F78" s="700"/>
      <c r="G78" s="700"/>
      <c r="H78" s="700"/>
      <c r="I78" s="700"/>
      <c r="J78" s="701"/>
      <c r="K78" s="697">
        <v>156</v>
      </c>
      <c r="L78" s="697"/>
      <c r="M78" s="697"/>
      <c r="N78" s="585"/>
      <c r="O78" s="585"/>
      <c r="P78" s="585"/>
      <c r="Q78" s="585">
        <v>564</v>
      </c>
      <c r="R78" s="585"/>
      <c r="S78" s="585"/>
      <c r="T78" s="585"/>
      <c r="U78" s="585"/>
      <c r="V78" s="585"/>
      <c r="W78" s="677"/>
      <c r="X78" s="677"/>
      <c r="Y78" s="677"/>
      <c r="Z78" s="677"/>
      <c r="AA78" s="677"/>
      <c r="AB78" s="677"/>
      <c r="AC78" s="677"/>
      <c r="AD78" s="677"/>
      <c r="AE78" s="78"/>
      <c r="AF78" s="120"/>
    </row>
    <row r="79" spans="1:32" s="57" customFormat="1" ht="17.25" customHeight="1">
      <c r="A79" s="139"/>
      <c r="B79" s="683" t="s">
        <v>569</v>
      </c>
      <c r="C79" s="683"/>
      <c r="D79" s="683"/>
      <c r="E79" s="683"/>
      <c r="F79" s="683"/>
      <c r="G79" s="683"/>
      <c r="H79" s="683"/>
      <c r="I79" s="683"/>
      <c r="J79" s="683"/>
      <c r="K79" s="697">
        <v>156</v>
      </c>
      <c r="L79" s="697"/>
      <c r="M79" s="697"/>
      <c r="N79" s="585"/>
      <c r="O79" s="585"/>
      <c r="P79" s="585"/>
      <c r="Q79" s="585">
        <v>564</v>
      </c>
      <c r="R79" s="585"/>
      <c r="S79" s="585"/>
      <c r="T79" s="585"/>
      <c r="U79" s="585"/>
      <c r="V79" s="585"/>
      <c r="W79" s="677"/>
      <c r="X79" s="677"/>
      <c r="Y79" s="677"/>
      <c r="Z79" s="677"/>
      <c r="AA79" s="677"/>
      <c r="AB79" s="677"/>
      <c r="AC79" s="677"/>
      <c r="AD79" s="677"/>
      <c r="AE79" s="78"/>
      <c r="AF79" s="120"/>
    </row>
    <row r="80" spans="1:32" ht="18" customHeight="1">
      <c r="A80" s="139"/>
      <c r="B80" s="683" t="s">
        <v>286</v>
      </c>
      <c r="C80" s="683"/>
      <c r="D80" s="683"/>
      <c r="E80" s="683"/>
      <c r="F80" s="683"/>
      <c r="G80" s="683"/>
      <c r="H80" s="683"/>
      <c r="I80" s="683"/>
      <c r="J80" s="683"/>
      <c r="K80" s="697">
        <v>156</v>
      </c>
      <c r="L80" s="697"/>
      <c r="M80" s="697"/>
      <c r="N80" s="698"/>
      <c r="O80" s="698"/>
      <c r="P80" s="698"/>
      <c r="Q80" s="585">
        <v>564</v>
      </c>
      <c r="R80" s="585"/>
      <c r="S80" s="585"/>
      <c r="T80" s="585"/>
      <c r="U80" s="585"/>
      <c r="V80" s="585"/>
      <c r="W80" s="677"/>
      <c r="X80" s="677"/>
      <c r="Y80" s="677"/>
      <c r="Z80" s="677"/>
      <c r="AA80" s="677"/>
      <c r="AB80" s="677"/>
      <c r="AC80" s="677"/>
      <c r="AD80" s="677"/>
      <c r="AE80" s="78"/>
      <c r="AF80" s="16"/>
    </row>
    <row r="81" spans="1:32" s="362" customFormat="1" ht="18" customHeight="1">
      <c r="A81" s="361"/>
      <c r="B81" s="686" t="s">
        <v>721</v>
      </c>
      <c r="C81" s="687"/>
      <c r="D81" s="687"/>
      <c r="E81" s="687"/>
      <c r="F81" s="687"/>
      <c r="G81" s="687"/>
      <c r="H81" s="687"/>
      <c r="I81" s="687"/>
      <c r="J81" s="688"/>
      <c r="K81" s="689"/>
      <c r="L81" s="690"/>
      <c r="M81" s="691"/>
      <c r="N81" s="692"/>
      <c r="O81" s="693"/>
      <c r="P81" s="694"/>
      <c r="Q81" s="560">
        <v>1495</v>
      </c>
      <c r="R81" s="695"/>
      <c r="S81" s="561"/>
      <c r="T81" s="560"/>
      <c r="U81" s="695"/>
      <c r="V81" s="561"/>
      <c r="W81" s="363"/>
      <c r="X81" s="363"/>
      <c r="Y81" s="363"/>
      <c r="Z81" s="363"/>
      <c r="AA81" s="363"/>
      <c r="AB81" s="363"/>
      <c r="AC81" s="363"/>
      <c r="AD81" s="363"/>
      <c r="AE81" s="363"/>
      <c r="AF81" s="16"/>
    </row>
    <row r="82" spans="1:32" s="362" customFormat="1" ht="32.25" customHeight="1">
      <c r="A82" s="361"/>
      <c r="B82" s="686" t="s">
        <v>722</v>
      </c>
      <c r="C82" s="687"/>
      <c r="D82" s="687"/>
      <c r="E82" s="687"/>
      <c r="F82" s="687"/>
      <c r="G82" s="687"/>
      <c r="H82" s="687"/>
      <c r="I82" s="687"/>
      <c r="J82" s="688"/>
      <c r="K82" s="364"/>
      <c r="L82" s="365"/>
      <c r="M82" s="366"/>
      <c r="N82" s="367"/>
      <c r="O82" s="368"/>
      <c r="P82" s="369"/>
      <c r="Q82" s="560">
        <v>1484</v>
      </c>
      <c r="R82" s="695"/>
      <c r="S82" s="561"/>
      <c r="T82" s="359"/>
      <c r="U82" s="370"/>
      <c r="V82" s="360"/>
      <c r="W82" s="363"/>
      <c r="X82" s="363"/>
      <c r="Y82" s="363"/>
      <c r="Z82" s="363"/>
      <c r="AA82" s="363"/>
      <c r="AB82" s="363"/>
      <c r="AC82" s="363"/>
      <c r="AD82" s="363"/>
      <c r="AE82" s="363"/>
      <c r="AF82" s="16"/>
    </row>
    <row r="83" spans="1:32" ht="23.25" customHeight="1">
      <c r="A83" s="685" t="s">
        <v>49</v>
      </c>
      <c r="B83" s="685"/>
      <c r="C83" s="685"/>
      <c r="D83" s="685"/>
      <c r="E83" s="685"/>
      <c r="F83" s="685"/>
      <c r="G83" s="685"/>
      <c r="H83" s="685"/>
      <c r="I83" s="685"/>
      <c r="J83" s="685"/>
      <c r="K83" s="585"/>
      <c r="L83" s="585"/>
      <c r="M83" s="585"/>
      <c r="N83" s="585"/>
      <c r="O83" s="585"/>
      <c r="P83" s="585"/>
      <c r="Q83" s="585"/>
      <c r="R83" s="585"/>
      <c r="S83" s="585"/>
      <c r="T83" s="585"/>
      <c r="U83" s="585"/>
      <c r="V83" s="585"/>
      <c r="W83" s="677"/>
      <c r="X83" s="677"/>
      <c r="Y83" s="677"/>
      <c r="Z83" s="677"/>
      <c r="AA83" s="677"/>
      <c r="AB83" s="677"/>
      <c r="AC83" s="677"/>
      <c r="AD83" s="677"/>
      <c r="AE83" s="78"/>
      <c r="AF83" s="16"/>
    </row>
    <row r="84" spans="1:32" s="3" customFormat="1" ht="33.75" customHeight="1">
      <c r="A84" s="134"/>
      <c r="B84" s="653" t="s">
        <v>978</v>
      </c>
      <c r="C84" s="653"/>
      <c r="D84" s="653"/>
      <c r="E84" s="653"/>
      <c r="F84" s="653"/>
      <c r="G84" s="653"/>
      <c r="H84" s="653"/>
      <c r="I84" s="653"/>
      <c r="J84" s="653"/>
      <c r="K84" s="653"/>
      <c r="L84" s="653"/>
      <c r="M84" s="653"/>
      <c r="N84" s="653"/>
      <c r="O84" s="653"/>
      <c r="P84" s="653"/>
      <c r="Q84" s="653"/>
      <c r="R84" s="138"/>
      <c r="S84" s="138"/>
      <c r="T84" s="138"/>
      <c r="U84" s="696"/>
      <c r="V84" s="696"/>
      <c r="W84" s="696"/>
      <c r="X84" s="696"/>
      <c r="Y84" s="696"/>
      <c r="Z84" s="696"/>
      <c r="AA84" s="28"/>
      <c r="AB84" s="134"/>
      <c r="AC84" s="134"/>
      <c r="AD84" s="134"/>
      <c r="AE84" s="134"/>
      <c r="AF84" s="134"/>
    </row>
    <row r="85" spans="1:32" s="28" customFormat="1" ht="16.5" customHeight="1">
      <c r="A85" s="135"/>
      <c r="B85" s="111" t="s">
        <v>233</v>
      </c>
      <c r="C85" s="500" t="s">
        <v>232</v>
      </c>
      <c r="D85" s="500"/>
      <c r="E85" s="373"/>
      <c r="F85" s="112"/>
      <c r="G85" s="491" t="s">
        <v>84</v>
      </c>
      <c r="H85" s="491"/>
      <c r="I85" s="491"/>
      <c r="J85" s="146"/>
      <c r="K85" s="146"/>
      <c r="L85" s="3"/>
      <c r="M85" s="144"/>
      <c r="N85" s="147"/>
      <c r="O85" s="148"/>
      <c r="P85" s="145"/>
      <c r="Q85" s="149"/>
      <c r="R85" s="149"/>
      <c r="S85" s="149"/>
      <c r="T85" s="145"/>
      <c r="U85" s="145"/>
      <c r="V85" s="684"/>
      <c r="W85" s="684"/>
      <c r="X85" s="684"/>
      <c r="Y85" s="684"/>
      <c r="Z85" s="684"/>
      <c r="AA85" s="3"/>
      <c r="AB85" s="135"/>
      <c r="AC85" s="135"/>
      <c r="AD85" s="135"/>
      <c r="AE85" s="135"/>
      <c r="AF85" s="135"/>
    </row>
    <row r="86" spans="1:32" s="3" customFormat="1" ht="18.75" customHeight="1">
      <c r="A86" s="134"/>
      <c r="B86" s="552" t="s">
        <v>549</v>
      </c>
      <c r="C86" s="552"/>
      <c r="D86" s="552"/>
      <c r="E86" s="552"/>
      <c r="F86" s="552"/>
      <c r="G86" s="552"/>
      <c r="H86" s="552"/>
      <c r="I86" s="552"/>
      <c r="J86" s="88"/>
      <c r="K86" s="88"/>
      <c r="L86" s="88"/>
      <c r="M86" s="134"/>
      <c r="N86" s="134"/>
      <c r="O86" s="134"/>
      <c r="P86" s="134"/>
      <c r="Q86" s="88"/>
      <c r="R86" s="88"/>
      <c r="S86" s="88"/>
      <c r="T86" s="88"/>
      <c r="U86" s="134"/>
      <c r="V86" s="134"/>
      <c r="W86" s="134"/>
      <c r="X86" s="88"/>
      <c r="Y86" s="88"/>
      <c r="Z86" s="88"/>
      <c r="AA86" s="88"/>
      <c r="AB86" s="134"/>
      <c r="AC86" s="134"/>
      <c r="AD86" s="134"/>
      <c r="AE86" s="134"/>
      <c r="AF86" s="134"/>
    </row>
    <row r="87" spans="1:32">
      <c r="A87" s="16"/>
      <c r="B87" s="16"/>
      <c r="C87" s="136"/>
      <c r="D87" s="136"/>
      <c r="E87" s="136"/>
      <c r="F87" s="136"/>
      <c r="G87" s="136"/>
      <c r="H87" s="136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6"/>
      <c r="V87" s="136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A88" s="16"/>
      <c r="B88" s="1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6"/>
      <c r="X88" s="16"/>
      <c r="Y88" s="16"/>
      <c r="Z88" s="16"/>
      <c r="AA88" s="16"/>
      <c r="AB88" s="16"/>
      <c r="AC88" s="16"/>
      <c r="AD88" s="16"/>
      <c r="AE88" s="16"/>
      <c r="AF88" s="16"/>
    </row>
    <row r="89" spans="1:32">
      <c r="A89" s="16"/>
      <c r="B89" s="1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6"/>
      <c r="X89" s="16"/>
      <c r="Y89" s="16"/>
      <c r="Z89" s="16"/>
      <c r="AA89" s="16"/>
      <c r="AB89" s="16"/>
      <c r="AC89" s="16"/>
      <c r="AD89" s="16"/>
      <c r="AE89" s="16"/>
      <c r="AF89" s="16"/>
    </row>
    <row r="90" spans="1:32">
      <c r="C90" s="29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  <row r="98" spans="3:3" ht="19.5">
      <c r="C98" s="30"/>
    </row>
    <row r="99" spans="3:3" ht="19.5">
      <c r="C99" s="30"/>
    </row>
  </sheetData>
  <mergeCells count="548"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U52:V52"/>
    <mergeCell ref="B50:L50"/>
    <mergeCell ref="S51:T51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K74:M74"/>
    <mergeCell ref="N74:P74"/>
    <mergeCell ref="Q74:S74"/>
    <mergeCell ref="T74:V74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B79:J79"/>
    <mergeCell ref="K79:M79"/>
    <mergeCell ref="Q76:S76"/>
    <mergeCell ref="T76:V76"/>
    <mergeCell ref="AA79:AB79"/>
    <mergeCell ref="AC79:AD79"/>
    <mergeCell ref="B80:J80"/>
    <mergeCell ref="K80:M80"/>
    <mergeCell ref="N80:P80"/>
    <mergeCell ref="Y78:Z78"/>
    <mergeCell ref="AA78:AB78"/>
    <mergeCell ref="AC78:AD78"/>
    <mergeCell ref="AC77:AD77"/>
    <mergeCell ref="N79:P79"/>
    <mergeCell ref="Q79:S79"/>
    <mergeCell ref="AC74:AD74"/>
    <mergeCell ref="Y76:Z76"/>
    <mergeCell ref="AA76:AB76"/>
    <mergeCell ref="W76:X76"/>
    <mergeCell ref="B74:J74"/>
    <mergeCell ref="V85:Z85"/>
    <mergeCell ref="A83:J83"/>
    <mergeCell ref="K83:M83"/>
    <mergeCell ref="N83:P83"/>
    <mergeCell ref="Q83:S83"/>
    <mergeCell ref="T83:V83"/>
    <mergeCell ref="W83:X83"/>
    <mergeCell ref="Y83:Z83"/>
    <mergeCell ref="B81:J81"/>
    <mergeCell ref="K81:M81"/>
    <mergeCell ref="N81:P81"/>
    <mergeCell ref="Q81:S81"/>
    <mergeCell ref="T81:V81"/>
    <mergeCell ref="B82:J82"/>
    <mergeCell ref="Q82:S82"/>
    <mergeCell ref="C85:D85"/>
    <mergeCell ref="G85:I85"/>
    <mergeCell ref="U84:Z84"/>
    <mergeCell ref="AC80:AD80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V60:Z60"/>
    <mergeCell ref="T60:U60"/>
    <mergeCell ref="P60:Q60"/>
    <mergeCell ref="R60:S60"/>
    <mergeCell ref="P64:Q64"/>
    <mergeCell ref="AA83:AB83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3:AD83"/>
    <mergeCell ref="L62:M62"/>
    <mergeCell ref="L63:M63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43:X44"/>
    <mergeCell ref="U43:V44"/>
    <mergeCell ref="U45:V45"/>
    <mergeCell ref="W45:X45"/>
    <mergeCell ref="B86:I86"/>
    <mergeCell ref="B84:Q84"/>
    <mergeCell ref="AA48:AB48"/>
    <mergeCell ref="Y49:Z49"/>
    <mergeCell ref="AA49:AB49"/>
    <mergeCell ref="B67:AE67"/>
    <mergeCell ref="U50:V50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W52:X52"/>
    <mergeCell ref="W49:X49"/>
    <mergeCell ref="L60:M60"/>
    <mergeCell ref="B49:L49"/>
    <mergeCell ref="W51:X51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user-1</cp:lastModifiedBy>
  <cp:lastPrinted>2021-03-01T07:05:39Z</cp:lastPrinted>
  <dcterms:created xsi:type="dcterms:W3CDTF">2003-03-13T16:00:22Z</dcterms:created>
  <dcterms:modified xsi:type="dcterms:W3CDTF">2021-03-11T13:30:12Z</dcterms:modified>
</cp:coreProperties>
</file>